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ri\Documents\AAPG\Climate Change Policy\Econ Oil paper 2017\Final Sub Sept 2019\Tables Aug 2019\"/>
    </mc:Choice>
  </mc:AlternateContent>
  <xr:revisionPtr revIDLastSave="0" documentId="13_ncr:1_{CAA8CF33-EACD-424E-BE7F-43C5116817B6}" xr6:coauthVersionLast="43" xr6:coauthVersionMax="43" xr10:uidLastSave="{00000000-0000-0000-0000-000000000000}"/>
  <bookViews>
    <workbookView xWindow="-108" yWindow="-108" windowWidth="23256" windowHeight="12240" xr2:uid="{00000000-000D-0000-FFFF-FFFF00000000}"/>
  </bookViews>
  <sheets>
    <sheet name="APP B  (Aug. 29 2019)" sheetId="46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54" i="46" l="1"/>
  <c r="AV38" i="46"/>
  <c r="AT54" i="46" l="1"/>
  <c r="AR53" i="46" l="1"/>
  <c r="AT18" i="46"/>
  <c r="AT19" i="46"/>
  <c r="O68" i="46" l="1"/>
  <c r="B75" i="46"/>
  <c r="B74" i="46"/>
  <c r="B73" i="46"/>
  <c r="P61" i="46"/>
  <c r="P64" i="46" s="1"/>
  <c r="H61" i="46"/>
  <c r="H64" i="46" s="1"/>
  <c r="M54" i="46"/>
  <c r="M62" i="46" s="1"/>
  <c r="L54" i="46"/>
  <c r="L62" i="46" s="1"/>
  <c r="K54" i="46"/>
  <c r="K62" i="46" s="1"/>
  <c r="J54" i="46"/>
  <c r="J62" i="46" s="1"/>
  <c r="J66" i="46" s="1"/>
  <c r="I54" i="46"/>
  <c r="I62" i="46" s="1"/>
  <c r="H54" i="46"/>
  <c r="G54" i="46"/>
  <c r="G62" i="46" s="1"/>
  <c r="G66" i="46" s="1"/>
  <c r="F54" i="46"/>
  <c r="F62" i="46" s="1"/>
  <c r="E54" i="46"/>
  <c r="E62" i="46" s="1"/>
  <c r="D54" i="46"/>
  <c r="AM53" i="46"/>
  <c r="AL53" i="46"/>
  <c r="AL61" i="46" s="1"/>
  <c r="AL64" i="46" s="1"/>
  <c r="AK53" i="46"/>
  <c r="AK61" i="46" s="1"/>
  <c r="AK64" i="46" s="1"/>
  <c r="AJ53" i="46"/>
  <c r="AJ61" i="46" s="1"/>
  <c r="AJ64" i="46" s="1"/>
  <c r="AI53" i="46"/>
  <c r="AI61" i="46" s="1"/>
  <c r="AI64" i="46" s="1"/>
  <c r="AH53" i="46"/>
  <c r="AH61" i="46" s="1"/>
  <c r="AH64" i="46" s="1"/>
  <c r="AG53" i="46"/>
  <c r="AG61" i="46" s="1"/>
  <c r="AG64" i="46" s="1"/>
  <c r="AF53" i="46"/>
  <c r="AF61" i="46" s="1"/>
  <c r="AF64" i="46" s="1"/>
  <c r="AE53" i="46"/>
  <c r="AE61" i="46" s="1"/>
  <c r="AE64" i="46" s="1"/>
  <c r="AD53" i="46"/>
  <c r="AD61" i="46" s="1"/>
  <c r="AD64" i="46" s="1"/>
  <c r="AC53" i="46"/>
  <c r="AC61" i="46" s="1"/>
  <c r="AC64" i="46" s="1"/>
  <c r="AB53" i="46"/>
  <c r="AB61" i="46" s="1"/>
  <c r="AB64" i="46" s="1"/>
  <c r="AA53" i="46"/>
  <c r="AA61" i="46" s="1"/>
  <c r="AA64" i="46" s="1"/>
  <c r="Z53" i="46"/>
  <c r="Z61" i="46" s="1"/>
  <c r="Z64" i="46" s="1"/>
  <c r="Y53" i="46"/>
  <c r="Y61" i="46" s="1"/>
  <c r="Y64" i="46" s="1"/>
  <c r="X53" i="46"/>
  <c r="X61" i="46" s="1"/>
  <c r="X64" i="46" s="1"/>
  <c r="W53" i="46"/>
  <c r="W61" i="46" s="1"/>
  <c r="W64" i="46" s="1"/>
  <c r="V53" i="46"/>
  <c r="V61" i="46" s="1"/>
  <c r="V64" i="46" s="1"/>
  <c r="U53" i="46"/>
  <c r="U61" i="46" s="1"/>
  <c r="U64" i="46" s="1"/>
  <c r="T53" i="46"/>
  <c r="T61" i="46" s="1"/>
  <c r="T64" i="46" s="1"/>
  <c r="S53" i="46"/>
  <c r="S61" i="46" s="1"/>
  <c r="S64" i="46" s="1"/>
  <c r="R53" i="46"/>
  <c r="R61" i="46" s="1"/>
  <c r="R64" i="46" s="1"/>
  <c r="Q53" i="46"/>
  <c r="Q61" i="46" s="1"/>
  <c r="Q64" i="46" s="1"/>
  <c r="P53" i="46"/>
  <c r="O53" i="46"/>
  <c r="O61" i="46" s="1"/>
  <c r="O64" i="46" s="1"/>
  <c r="N53" i="46"/>
  <c r="N61" i="46" s="1"/>
  <c r="N64" i="46" s="1"/>
  <c r="M53" i="46"/>
  <c r="M61" i="46" s="1"/>
  <c r="M64" i="46" s="1"/>
  <c r="L53" i="46"/>
  <c r="L61" i="46" s="1"/>
  <c r="L64" i="46" s="1"/>
  <c r="K53" i="46"/>
  <c r="K61" i="46" s="1"/>
  <c r="K64" i="46" s="1"/>
  <c r="J53" i="46"/>
  <c r="J61" i="46" s="1"/>
  <c r="J64" i="46" s="1"/>
  <c r="I53" i="46"/>
  <c r="I61" i="46" s="1"/>
  <c r="I64" i="46" s="1"/>
  <c r="H53" i="46"/>
  <c r="G53" i="46"/>
  <c r="G61" i="46" s="1"/>
  <c r="G64" i="46" s="1"/>
  <c r="F53" i="46"/>
  <c r="F61" i="46" s="1"/>
  <c r="F64" i="46" s="1"/>
  <c r="E53" i="46"/>
  <c r="E61" i="46" s="1"/>
  <c r="E64" i="46" s="1"/>
  <c r="D53" i="46"/>
  <c r="D61" i="46" s="1"/>
  <c r="D64" i="46" s="1"/>
  <c r="G51" i="46"/>
  <c r="F51" i="46"/>
  <c r="F52" i="46" s="1"/>
  <c r="E51" i="46"/>
  <c r="E52" i="46" s="1"/>
  <c r="AM49" i="46"/>
  <c r="AL49" i="46"/>
  <c r="AK49" i="46"/>
  <c r="AJ49" i="46"/>
  <c r="AI49" i="46"/>
  <c r="AH49" i="46"/>
  <c r="AG49" i="46"/>
  <c r="AF49" i="46"/>
  <c r="AE49" i="46"/>
  <c r="AD49" i="46"/>
  <c r="AC49" i="46"/>
  <c r="AB49" i="46"/>
  <c r="AA49" i="46"/>
  <c r="Z49" i="46"/>
  <c r="Y49" i="46"/>
  <c r="X49" i="46"/>
  <c r="W49" i="46"/>
  <c r="V49" i="46"/>
  <c r="U49" i="46"/>
  <c r="T49" i="46"/>
  <c r="S49" i="46"/>
  <c r="R49" i="46"/>
  <c r="Q49" i="46"/>
  <c r="P49" i="46"/>
  <c r="O49" i="46"/>
  <c r="N49" i="46"/>
  <c r="M49" i="46"/>
  <c r="L49" i="46"/>
  <c r="K49" i="46"/>
  <c r="J49" i="46"/>
  <c r="I49" i="46"/>
  <c r="H49" i="46"/>
  <c r="G49" i="46"/>
  <c r="F49" i="46"/>
  <c r="E49" i="46"/>
  <c r="D49" i="46"/>
  <c r="AM47" i="46"/>
  <c r="AO47" i="46" s="1"/>
  <c r="AL47" i="46"/>
  <c r="AK47" i="46"/>
  <c r="AJ47" i="46"/>
  <c r="AJ46" i="46" s="1"/>
  <c r="AJ65" i="46" s="1"/>
  <c r="AI47" i="46"/>
  <c r="AI46" i="46" s="1"/>
  <c r="AI65" i="46" s="1"/>
  <c r="AH47" i="46"/>
  <c r="AH46" i="46" s="1"/>
  <c r="AH65" i="46" s="1"/>
  <c r="AG47" i="46"/>
  <c r="AG46" i="46" s="1"/>
  <c r="AG65" i="46" s="1"/>
  <c r="AF47" i="46"/>
  <c r="AF46" i="46" s="1"/>
  <c r="AF65" i="46" s="1"/>
  <c r="AE47" i="46"/>
  <c r="AE46" i="46" s="1"/>
  <c r="AE65" i="46" s="1"/>
  <c r="AD47" i="46"/>
  <c r="AD46" i="46" s="1"/>
  <c r="AD65" i="46" s="1"/>
  <c r="AC47" i="46"/>
  <c r="AC46" i="46" s="1"/>
  <c r="AC65" i="46" s="1"/>
  <c r="AB47" i="46"/>
  <c r="AB46" i="46" s="1"/>
  <c r="AB65" i="46" s="1"/>
  <c r="AA47" i="46"/>
  <c r="AA46" i="46" s="1"/>
  <c r="AA65" i="46" s="1"/>
  <c r="Z47" i="46"/>
  <c r="Y47" i="46"/>
  <c r="Y46" i="46" s="1"/>
  <c r="Y65" i="46" s="1"/>
  <c r="X47" i="46"/>
  <c r="X46" i="46" s="1"/>
  <c r="X65" i="46" s="1"/>
  <c r="W47" i="46"/>
  <c r="V47" i="46"/>
  <c r="U47" i="46"/>
  <c r="T47" i="46"/>
  <c r="T46" i="46" s="1"/>
  <c r="T65" i="46" s="1"/>
  <c r="S47" i="46"/>
  <c r="S46" i="46" s="1"/>
  <c r="S65" i="46" s="1"/>
  <c r="R47" i="46"/>
  <c r="R46" i="46" s="1"/>
  <c r="R65" i="46" s="1"/>
  <c r="Q47" i="46"/>
  <c r="Q46" i="46" s="1"/>
  <c r="Q65" i="46" s="1"/>
  <c r="P47" i="46"/>
  <c r="P46" i="46" s="1"/>
  <c r="P65" i="46" s="1"/>
  <c r="O47" i="46"/>
  <c r="O46" i="46" s="1"/>
  <c r="O65" i="46" s="1"/>
  <c r="N47" i="46"/>
  <c r="N46" i="46" s="1"/>
  <c r="N65" i="46" s="1"/>
  <c r="M47" i="46"/>
  <c r="M46" i="46" s="1"/>
  <c r="M65" i="46" s="1"/>
  <c r="L47" i="46"/>
  <c r="L46" i="46" s="1"/>
  <c r="L65" i="46" s="1"/>
  <c r="K47" i="46"/>
  <c r="K46" i="46" s="1"/>
  <c r="K65" i="46" s="1"/>
  <c r="J47" i="46"/>
  <c r="I47" i="46"/>
  <c r="I46" i="46" s="1"/>
  <c r="I65" i="46" s="1"/>
  <c r="H47" i="46"/>
  <c r="H46" i="46" s="1"/>
  <c r="H65" i="46" s="1"/>
  <c r="G47" i="46"/>
  <c r="F47" i="46"/>
  <c r="E47" i="46"/>
  <c r="E46" i="46" s="1"/>
  <c r="E65" i="46" s="1"/>
  <c r="D47" i="46"/>
  <c r="D46" i="46" s="1"/>
  <c r="AM46" i="46"/>
  <c r="AL46" i="46"/>
  <c r="AL65" i="46" s="1"/>
  <c r="AK46" i="46"/>
  <c r="AK65" i="46" s="1"/>
  <c r="Z46" i="46"/>
  <c r="Z65" i="46" s="1"/>
  <c r="W46" i="46"/>
  <c r="W65" i="46" s="1"/>
  <c r="V46" i="46"/>
  <c r="V65" i="46" s="1"/>
  <c r="U46" i="46"/>
  <c r="U65" i="46" s="1"/>
  <c r="J46" i="46"/>
  <c r="J65" i="46" s="1"/>
  <c r="G46" i="46"/>
  <c r="G65" i="46" s="1"/>
  <c r="F46" i="46"/>
  <c r="F65" i="46" s="1"/>
  <c r="O45" i="46"/>
  <c r="P45" i="46" s="1"/>
  <c r="Q45" i="46" s="1"/>
  <c r="R45" i="46" s="1"/>
  <c r="S45" i="46" s="1"/>
  <c r="T45" i="46" s="1"/>
  <c r="U45" i="46" s="1"/>
  <c r="V45" i="46" s="1"/>
  <c r="W45" i="46" s="1"/>
  <c r="X45" i="46" s="1"/>
  <c r="Y45" i="46" s="1"/>
  <c r="Z45" i="46" s="1"/>
  <c r="AA45" i="46" s="1"/>
  <c r="AB45" i="46" s="1"/>
  <c r="AC45" i="46" s="1"/>
  <c r="AD45" i="46" s="1"/>
  <c r="AE45" i="46" s="1"/>
  <c r="AF45" i="46" s="1"/>
  <c r="AG45" i="46" s="1"/>
  <c r="AH45" i="46" s="1"/>
  <c r="AI45" i="46" s="1"/>
  <c r="AJ45" i="46" s="1"/>
  <c r="AK45" i="46" s="1"/>
  <c r="AL45" i="46" s="1"/>
  <c r="AM45" i="46" s="1"/>
  <c r="N45" i="46"/>
  <c r="Q42" i="46"/>
  <c r="M38" i="46"/>
  <c r="AM36" i="46"/>
  <c r="AN36" i="46" s="1"/>
  <c r="AM34" i="46"/>
  <c r="AM35" i="46" s="1"/>
  <c r="AN35" i="46" s="1"/>
  <c r="AL34" i="46"/>
  <c r="AL35" i="46" s="1"/>
  <c r="AK34" i="46"/>
  <c r="AK35" i="46" s="1"/>
  <c r="AJ34" i="46"/>
  <c r="AJ35" i="46" s="1"/>
  <c r="AI34" i="46"/>
  <c r="AI35" i="46" s="1"/>
  <c r="AH34" i="46"/>
  <c r="AH35" i="46" s="1"/>
  <c r="AG34" i="46"/>
  <c r="AG35" i="46" s="1"/>
  <c r="AF34" i="46"/>
  <c r="AF35" i="46" s="1"/>
  <c r="AE34" i="46"/>
  <c r="AE35" i="46" s="1"/>
  <c r="AD34" i="46"/>
  <c r="AD35" i="46" s="1"/>
  <c r="AC34" i="46"/>
  <c r="AC35" i="46" s="1"/>
  <c r="AB34" i="46"/>
  <c r="AB35" i="46" s="1"/>
  <c r="AA34" i="46"/>
  <c r="AA35" i="46" s="1"/>
  <c r="Z34" i="46"/>
  <c r="Z35" i="46" s="1"/>
  <c r="Y34" i="46"/>
  <c r="Y35" i="46" s="1"/>
  <c r="X34" i="46"/>
  <c r="X35" i="46" s="1"/>
  <c r="W34" i="46"/>
  <c r="W35" i="46" s="1"/>
  <c r="V34" i="46"/>
  <c r="V35" i="46" s="1"/>
  <c r="U34" i="46"/>
  <c r="U35" i="46" s="1"/>
  <c r="T34" i="46"/>
  <c r="T35" i="46" s="1"/>
  <c r="S34" i="46"/>
  <c r="S35" i="46" s="1"/>
  <c r="R34" i="46"/>
  <c r="R35" i="46" s="1"/>
  <c r="Q34" i="46"/>
  <c r="Q35" i="46" s="1"/>
  <c r="P34" i="46"/>
  <c r="P35" i="46" s="1"/>
  <c r="O34" i="46"/>
  <c r="O35" i="46" s="1"/>
  <c r="N34" i="46"/>
  <c r="N35" i="46" s="1"/>
  <c r="M34" i="46"/>
  <c r="M35" i="46" s="1"/>
  <c r="L34" i="46"/>
  <c r="L35" i="46" s="1"/>
  <c r="L38" i="46" s="1"/>
  <c r="K34" i="46"/>
  <c r="K35" i="46" s="1"/>
  <c r="K38" i="46" s="1"/>
  <c r="J34" i="46"/>
  <c r="J35" i="46" s="1"/>
  <c r="J38" i="46" s="1"/>
  <c r="I34" i="46"/>
  <c r="I35" i="46" s="1"/>
  <c r="I38" i="46" s="1"/>
  <c r="H34" i="46"/>
  <c r="H35" i="46" s="1"/>
  <c r="H38" i="46" s="1"/>
  <c r="G34" i="46"/>
  <c r="G35" i="46" s="1"/>
  <c r="G38" i="46" s="1"/>
  <c r="F34" i="46"/>
  <c r="F35" i="46" s="1"/>
  <c r="F38" i="46" s="1"/>
  <c r="E34" i="46"/>
  <c r="E35" i="46" s="1"/>
  <c r="E38" i="46" s="1"/>
  <c r="D34" i="46"/>
  <c r="D35" i="46" s="1"/>
  <c r="AM33" i="46"/>
  <c r="AL33" i="46"/>
  <c r="AL36" i="46" s="1"/>
  <c r="AK33" i="46"/>
  <c r="AK36" i="46" s="1"/>
  <c r="AJ33" i="46"/>
  <c r="AJ36" i="46" s="1"/>
  <c r="AI33" i="46"/>
  <c r="AI36" i="46" s="1"/>
  <c r="AH33" i="46"/>
  <c r="AH36" i="46" s="1"/>
  <c r="AG33" i="46"/>
  <c r="AG36" i="46" s="1"/>
  <c r="AF33" i="46"/>
  <c r="AF36" i="46" s="1"/>
  <c r="AE33" i="46"/>
  <c r="AE36" i="46" s="1"/>
  <c r="AD33" i="46"/>
  <c r="AD36" i="46" s="1"/>
  <c r="AC33" i="46"/>
  <c r="AC36" i="46" s="1"/>
  <c r="AB33" i="46"/>
  <c r="AB36" i="46" s="1"/>
  <c r="AA33" i="46"/>
  <c r="AA36" i="46" s="1"/>
  <c r="Z33" i="46"/>
  <c r="Z36" i="46" s="1"/>
  <c r="Y33" i="46"/>
  <c r="Y36" i="46" s="1"/>
  <c r="X33" i="46"/>
  <c r="X36" i="46" s="1"/>
  <c r="W33" i="46"/>
  <c r="W36" i="46" s="1"/>
  <c r="V33" i="46"/>
  <c r="V36" i="46" s="1"/>
  <c r="U33" i="46"/>
  <c r="U36" i="46" s="1"/>
  <c r="T33" i="46"/>
  <c r="T36" i="46" s="1"/>
  <c r="S33" i="46"/>
  <c r="S36" i="46" s="1"/>
  <c r="R33" i="46"/>
  <c r="R36" i="46" s="1"/>
  <c r="Q33" i="46"/>
  <c r="Q36" i="46" s="1"/>
  <c r="P33" i="46"/>
  <c r="P36" i="46" s="1"/>
  <c r="O33" i="46"/>
  <c r="O36" i="46" s="1"/>
  <c r="N33" i="46"/>
  <c r="N36" i="46" s="1"/>
  <c r="M33" i="46"/>
  <c r="M36" i="46" s="1"/>
  <c r="L33" i="46"/>
  <c r="L36" i="46" s="1"/>
  <c r="K33" i="46"/>
  <c r="K36" i="46" s="1"/>
  <c r="J33" i="46"/>
  <c r="J36" i="46" s="1"/>
  <c r="I33" i="46"/>
  <c r="I36" i="46" s="1"/>
  <c r="H33" i="46"/>
  <c r="H36" i="46" s="1"/>
  <c r="G33" i="46"/>
  <c r="G36" i="46" s="1"/>
  <c r="F33" i="46"/>
  <c r="F36" i="46" s="1"/>
  <c r="E33" i="46"/>
  <c r="E36" i="46" s="1"/>
  <c r="D33" i="46"/>
  <c r="D36" i="46" s="1"/>
  <c r="H29" i="46"/>
  <c r="H30" i="46" s="1"/>
  <c r="G29" i="46"/>
  <c r="G30" i="46" s="1"/>
  <c r="F29" i="46"/>
  <c r="E29" i="46"/>
  <c r="E31" i="46" s="1"/>
  <c r="E67" i="46" s="1"/>
  <c r="D29" i="46"/>
  <c r="D31" i="46" s="1"/>
  <c r="D67" i="46" s="1"/>
  <c r="AM28" i="46"/>
  <c r="AL28" i="46"/>
  <c r="AK28" i="46"/>
  <c r="AJ28" i="46"/>
  <c r="AI28" i="46"/>
  <c r="AH28" i="46"/>
  <c r="AG28" i="46"/>
  <c r="AF28" i="46"/>
  <c r="AE28" i="46"/>
  <c r="AD28" i="46"/>
  <c r="AC28" i="46"/>
  <c r="H28" i="46"/>
  <c r="G28" i="46"/>
  <c r="F28" i="46"/>
  <c r="E28" i="46"/>
  <c r="D28" i="46"/>
  <c r="AC27" i="46"/>
  <c r="AU26" i="46"/>
  <c r="AO26" i="46"/>
  <c r="AN26" i="46"/>
  <c r="M25" i="46"/>
  <c r="L25" i="46"/>
  <c r="L51" i="46" s="1"/>
  <c r="L52" i="46" s="1"/>
  <c r="K25" i="46"/>
  <c r="J25" i="46"/>
  <c r="I25" i="46"/>
  <c r="AV24" i="46"/>
  <c r="AU24" i="46"/>
  <c r="AR24" i="46"/>
  <c r="AT24" i="46" s="1"/>
  <c r="AP24" i="46"/>
  <c r="AQ24" i="46" s="1"/>
  <c r="AO24" i="46"/>
  <c r="AN24" i="46"/>
  <c r="J23" i="46"/>
  <c r="H23" i="46"/>
  <c r="G23" i="46"/>
  <c r="F23" i="46"/>
  <c r="E23" i="46"/>
  <c r="D23" i="46"/>
  <c r="AV22" i="46"/>
  <c r="AU22" i="46"/>
  <c r="AR22" i="46"/>
  <c r="AT22" i="46" s="1"/>
  <c r="AP22" i="46"/>
  <c r="AS22" i="46" s="1"/>
  <c r="AO22" i="46"/>
  <c r="AN22" i="46"/>
  <c r="M19" i="46"/>
  <c r="M18" i="46" s="1"/>
  <c r="L19" i="46"/>
  <c r="L18" i="46" s="1"/>
  <c r="K19" i="46"/>
  <c r="K18" i="46" s="1"/>
  <c r="J19" i="46"/>
  <c r="J18" i="46" s="1"/>
  <c r="I19" i="46"/>
  <c r="I18" i="46" s="1"/>
  <c r="W17" i="46"/>
  <c r="W68" i="46" s="1"/>
  <c r="V17" i="46"/>
  <c r="V68" i="46" s="1"/>
  <c r="U17" i="46"/>
  <c r="U68" i="46" s="1"/>
  <c r="T17" i="46"/>
  <c r="T68" i="46" s="1"/>
  <c r="S17" i="46"/>
  <c r="S68" i="46" s="1"/>
  <c r="R17" i="46"/>
  <c r="R68" i="46" s="1"/>
  <c r="Q17" i="46"/>
  <c r="Q68" i="46" s="1"/>
  <c r="P17" i="46"/>
  <c r="P68" i="46" s="1"/>
  <c r="O17" i="46"/>
  <c r="N17" i="46"/>
  <c r="N68" i="46" s="1"/>
  <c r="M17" i="46"/>
  <c r="M68" i="46" s="1"/>
  <c r="L17" i="46"/>
  <c r="L68" i="46" s="1"/>
  <c r="K17" i="46"/>
  <c r="K68" i="46" s="1"/>
  <c r="J17" i="46"/>
  <c r="J68" i="46" s="1"/>
  <c r="I17" i="46"/>
  <c r="I68" i="46" s="1"/>
  <c r="H17" i="46"/>
  <c r="H68" i="46" s="1"/>
  <c r="G17" i="46"/>
  <c r="G68" i="46" s="1"/>
  <c r="F17" i="46"/>
  <c r="F68" i="46" s="1"/>
  <c r="E17" i="46"/>
  <c r="E68" i="46" s="1"/>
  <c r="D17" i="46"/>
  <c r="D68" i="46" s="1"/>
  <c r="AV13" i="46"/>
  <c r="AU13" i="46"/>
  <c r="AR13" i="46"/>
  <c r="AT13" i="46" s="1"/>
  <c r="AP13" i="46"/>
  <c r="AS13" i="46" s="1"/>
  <c r="AO13" i="46"/>
  <c r="AN13" i="46"/>
  <c r="AM12" i="46"/>
  <c r="AL12" i="46"/>
  <c r="AK12" i="46"/>
  <c r="AJ12" i="46"/>
  <c r="AI12" i="46"/>
  <c r="AH12" i="46"/>
  <c r="AG12" i="46"/>
  <c r="AF12" i="46"/>
  <c r="AE12" i="46"/>
  <c r="AD12" i="46"/>
  <c r="AC12" i="46"/>
  <c r="AB12" i="46"/>
  <c r="AA12" i="46"/>
  <c r="Z12" i="46"/>
  <c r="Y12" i="46"/>
  <c r="X12" i="46"/>
  <c r="W12" i="46"/>
  <c r="V12" i="46"/>
  <c r="U12" i="46"/>
  <c r="T12" i="46"/>
  <c r="S12" i="46"/>
  <c r="R12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AP12" i="46" s="1"/>
  <c r="AS12" i="46" s="1"/>
  <c r="D12" i="46"/>
  <c r="AV11" i="46"/>
  <c r="AU11" i="46"/>
  <c r="AR11" i="46"/>
  <c r="AT11" i="46" s="1"/>
  <c r="AP11" i="46"/>
  <c r="AS11" i="46" s="1"/>
  <c r="AO11" i="46"/>
  <c r="AN11" i="46"/>
  <c r="AM10" i="46"/>
  <c r="AL10" i="46"/>
  <c r="AK10" i="46"/>
  <c r="AJ10" i="46"/>
  <c r="AI10" i="46"/>
  <c r="AH10" i="46"/>
  <c r="AG10" i="46"/>
  <c r="AF10" i="46"/>
  <c r="AE10" i="46"/>
  <c r="AD10" i="46"/>
  <c r="AC10" i="46"/>
  <c r="AB10" i="46"/>
  <c r="AA10" i="46"/>
  <c r="Z10" i="46"/>
  <c r="Y10" i="46"/>
  <c r="X10" i="46"/>
  <c r="W10" i="46"/>
  <c r="V10" i="46"/>
  <c r="U10" i="46"/>
  <c r="T10" i="46"/>
  <c r="S10" i="46"/>
  <c r="R10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AM8" i="46"/>
  <c r="AL8" i="46"/>
  <c r="AK8" i="46"/>
  <c r="AJ8" i="46"/>
  <c r="AI8" i="46"/>
  <c r="AH8" i="46"/>
  <c r="AG8" i="46"/>
  <c r="AF8" i="46"/>
  <c r="AE8" i="46"/>
  <c r="AD8" i="46"/>
  <c r="AC8" i="46"/>
  <c r="AB8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AV4" i="46"/>
  <c r="AU4" i="46"/>
  <c r="AR4" i="46"/>
  <c r="AT4" i="46" s="1"/>
  <c r="AP4" i="46"/>
  <c r="AS4" i="46" s="1"/>
  <c r="AO4" i="46"/>
  <c r="AN4" i="46"/>
  <c r="AV3" i="46"/>
  <c r="AU3" i="46"/>
  <c r="AR3" i="46"/>
  <c r="AT3" i="46" s="1"/>
  <c r="AP3" i="46"/>
  <c r="AS3" i="46" s="1"/>
  <c r="AO3" i="46"/>
  <c r="AN3" i="46"/>
  <c r="G69" i="46" l="1"/>
  <c r="AQ4" i="46"/>
  <c r="G31" i="46"/>
  <c r="G67" i="46" s="1"/>
  <c r="G70" i="46" s="1"/>
  <c r="J58" i="46"/>
  <c r="J51" i="46"/>
  <c r="J52" i="46" s="1"/>
  <c r="H31" i="46"/>
  <c r="H67" i="46" s="1"/>
  <c r="AN12" i="46"/>
  <c r="K51" i="46"/>
  <c r="K52" i="46" s="1"/>
  <c r="D30" i="46"/>
  <c r="AT34" i="46"/>
  <c r="AN7" i="46"/>
  <c r="AN8" i="46"/>
  <c r="AP10" i="46"/>
  <c r="AS10" i="46" s="1"/>
  <c r="AR12" i="46"/>
  <c r="AT12" i="46" s="1"/>
  <c r="AV33" i="46"/>
  <c r="AP7" i="46"/>
  <c r="AS7" i="46" s="1"/>
  <c r="AP8" i="46"/>
  <c r="AS8" i="46" s="1"/>
  <c r="K23" i="46"/>
  <c r="AR34" i="46"/>
  <c r="AR47" i="46"/>
  <c r="F60" i="46"/>
  <c r="AR7" i="46"/>
  <c r="AT7" i="46" s="1"/>
  <c r="AR8" i="46"/>
  <c r="AT8" i="46" s="1"/>
  <c r="AR10" i="46"/>
  <c r="AT10" i="46" s="1"/>
  <c r="G58" i="46"/>
  <c r="AS24" i="46"/>
  <c r="J26" i="46"/>
  <c r="G60" i="46"/>
  <c r="G59" i="46" s="1"/>
  <c r="E30" i="46"/>
  <c r="E50" i="46"/>
  <c r="AR33" i="46"/>
  <c r="F50" i="46"/>
  <c r="AT33" i="46"/>
  <c r="AN10" i="46"/>
  <c r="AR36" i="46"/>
  <c r="AP35" i="46"/>
  <c r="AQ13" i="46"/>
  <c r="F31" i="46"/>
  <c r="F30" i="46"/>
  <c r="AU33" i="46"/>
  <c r="AO33" i="46"/>
  <c r="AN33" i="46"/>
  <c r="AV34" i="46"/>
  <c r="AS34" i="46"/>
  <c r="I51" i="46"/>
  <c r="I26" i="46"/>
  <c r="I29" i="46" s="1"/>
  <c r="I23" i="46"/>
  <c r="I58" i="46" s="1"/>
  <c r="M51" i="46"/>
  <c r="M26" i="46"/>
  <c r="M29" i="46" s="1"/>
  <c r="M23" i="46"/>
  <c r="AP36" i="46"/>
  <c r="AR35" i="46"/>
  <c r="AM65" i="46"/>
  <c r="AR65" i="46" s="1"/>
  <c r="AN46" i="46"/>
  <c r="F66" i="46"/>
  <c r="F58" i="46"/>
  <c r="AS33" i="46"/>
  <c r="AU34" i="46"/>
  <c r="AO34" i="46"/>
  <c r="AN34" i="46"/>
  <c r="Q43" i="46"/>
  <c r="N38" i="46"/>
  <c r="D65" i="46"/>
  <c r="AP46" i="46"/>
  <c r="AO49" i="46"/>
  <c r="AN49" i="46"/>
  <c r="G50" i="46"/>
  <c r="G52" i="46"/>
  <c r="L23" i="46"/>
  <c r="L58" i="46" s="1"/>
  <c r="K26" i="46"/>
  <c r="K28" i="46" s="1"/>
  <c r="K60" i="46" s="1"/>
  <c r="AP49" i="46"/>
  <c r="L50" i="46"/>
  <c r="L26" i="46"/>
  <c r="L28" i="46" s="1"/>
  <c r="L60" i="46" s="1"/>
  <c r="AR46" i="46"/>
  <c r="D62" i="46"/>
  <c r="D51" i="46"/>
  <c r="H62" i="46"/>
  <c r="H51" i="46"/>
  <c r="L66" i="46"/>
  <c r="AP33" i="46"/>
  <c r="AP34" i="46"/>
  <c r="AP47" i="46"/>
  <c r="AN47" i="46"/>
  <c r="K66" i="46"/>
  <c r="K58" i="46"/>
  <c r="E66" i="46"/>
  <c r="E60" i="46"/>
  <c r="E58" i="46"/>
  <c r="I66" i="46"/>
  <c r="M66" i="46"/>
  <c r="M58" i="46"/>
  <c r="AM61" i="46"/>
  <c r="AM64" i="46" s="1"/>
  <c r="AP64" i="46" s="1"/>
  <c r="AO53" i="46"/>
  <c r="AN53" i="46"/>
  <c r="J50" i="46" l="1"/>
  <c r="AP65" i="46"/>
  <c r="F69" i="46"/>
  <c r="M70" i="46"/>
  <c r="E69" i="46"/>
  <c r="E70" i="46"/>
  <c r="K50" i="46"/>
  <c r="I69" i="46"/>
  <c r="F59" i="46"/>
  <c r="F67" i="46"/>
  <c r="F70" i="46" s="1"/>
  <c r="J28" i="46"/>
  <c r="J60" i="46" s="1"/>
  <c r="J29" i="46"/>
  <c r="AT35" i="46"/>
  <c r="AR64" i="46"/>
  <c r="L29" i="46"/>
  <c r="L31" i="46" s="1"/>
  <c r="F57" i="46"/>
  <c r="I31" i="46"/>
  <c r="I67" i="46" s="1"/>
  <c r="I70" i="46" s="1"/>
  <c r="I30" i="46"/>
  <c r="M31" i="46"/>
  <c r="M67" i="46" s="1"/>
  <c r="M69" i="46" s="1"/>
  <c r="M30" i="46"/>
  <c r="H52" i="46"/>
  <c r="H50" i="46"/>
  <c r="D66" i="46"/>
  <c r="D60" i="46"/>
  <c r="D58" i="46"/>
  <c r="K29" i="46"/>
  <c r="M52" i="46"/>
  <c r="M50" i="46"/>
  <c r="I28" i="46"/>
  <c r="I60" i="46" s="1"/>
  <c r="H66" i="46"/>
  <c r="H60" i="46"/>
  <c r="H58" i="46"/>
  <c r="AP61" i="46"/>
  <c r="G57" i="46"/>
  <c r="M28" i="46"/>
  <c r="M60" i="46" s="1"/>
  <c r="AV26" i="46"/>
  <c r="N26" i="46"/>
  <c r="I52" i="46"/>
  <c r="I50" i="46"/>
  <c r="L30" i="46"/>
  <c r="AR61" i="46"/>
  <c r="E59" i="46"/>
  <c r="D52" i="46"/>
  <c r="D50" i="46"/>
  <c r="O38" i="46"/>
  <c r="N25" i="46"/>
  <c r="N14" i="46"/>
  <c r="N5" i="46"/>
  <c r="L59" i="46" l="1"/>
  <c r="L67" i="46"/>
  <c r="D70" i="46"/>
  <c r="D69" i="46"/>
  <c r="H69" i="46"/>
  <c r="H70" i="46"/>
  <c r="J31" i="46"/>
  <c r="J30" i="46"/>
  <c r="D59" i="46"/>
  <c r="P38" i="46"/>
  <c r="O25" i="46"/>
  <c r="O5" i="46"/>
  <c r="O14" i="46"/>
  <c r="E57" i="46"/>
  <c r="M59" i="46"/>
  <c r="I59" i="46"/>
  <c r="L57" i="46"/>
  <c r="N54" i="46"/>
  <c r="N51" i="46" s="1"/>
  <c r="G56" i="46"/>
  <c r="H59" i="46"/>
  <c r="K31" i="46"/>
  <c r="K30" i="46"/>
  <c r="N20" i="46"/>
  <c r="N23" i="46"/>
  <c r="X27" i="46"/>
  <c r="T27" i="46" s="1"/>
  <c r="N29" i="46"/>
  <c r="O26" i="46"/>
  <c r="N28" i="46"/>
  <c r="F56" i="46"/>
  <c r="K59" i="46" l="1"/>
  <c r="K67" i="46"/>
  <c r="L70" i="46"/>
  <c r="L69" i="46"/>
  <c r="J59" i="46"/>
  <c r="J57" i="46" s="1"/>
  <c r="J67" i="46"/>
  <c r="I57" i="46"/>
  <c r="E56" i="46"/>
  <c r="O20" i="46"/>
  <c r="O19" i="46" s="1"/>
  <c r="O18" i="46" s="1"/>
  <c r="O29" i="46"/>
  <c r="O23" i="46"/>
  <c r="D57" i="46"/>
  <c r="H57" i="46"/>
  <c r="J56" i="46"/>
  <c r="P26" i="46"/>
  <c r="O28" i="46"/>
  <c r="N31" i="46"/>
  <c r="N67" i="46" s="1"/>
  <c r="N30" i="46"/>
  <c r="K57" i="46"/>
  <c r="N62" i="46"/>
  <c r="P25" i="46"/>
  <c r="P5" i="46"/>
  <c r="P14" i="46"/>
  <c r="Q38" i="46"/>
  <c r="N52" i="46"/>
  <c r="N50" i="46"/>
  <c r="N19" i="46"/>
  <c r="L56" i="46"/>
  <c r="M57" i="46"/>
  <c r="O54" i="46"/>
  <c r="O62" i="46" s="1"/>
  <c r="J70" i="46" l="1"/>
  <c r="J69" i="46"/>
  <c r="K69" i="46"/>
  <c r="K70" i="46"/>
  <c r="O66" i="46"/>
  <c r="O58" i="46"/>
  <c r="O60" i="46"/>
  <c r="N18" i="46"/>
  <c r="P54" i="46"/>
  <c r="P62" i="46" s="1"/>
  <c r="I56" i="46"/>
  <c r="D56" i="46"/>
  <c r="N66" i="46"/>
  <c r="N58" i="46"/>
  <c r="N60" i="46"/>
  <c r="Q26" i="46"/>
  <c r="P28" i="46"/>
  <c r="H56" i="46"/>
  <c r="O51" i="46"/>
  <c r="R38" i="46"/>
  <c r="Q25" i="46"/>
  <c r="Q5" i="46"/>
  <c r="Q14" i="46"/>
  <c r="K56" i="46"/>
  <c r="O31" i="46"/>
  <c r="O67" i="46" s="1"/>
  <c r="O30" i="46"/>
  <c r="M56" i="46"/>
  <c r="P29" i="46"/>
  <c r="P23" i="46"/>
  <c r="P20" i="46"/>
  <c r="P19" i="46" s="1"/>
  <c r="N70" i="46" l="1"/>
  <c r="N69" i="46"/>
  <c r="P51" i="46"/>
  <c r="P50" i="46" s="1"/>
  <c r="O69" i="46"/>
  <c r="O70" i="46"/>
  <c r="P18" i="46"/>
  <c r="O52" i="46"/>
  <c r="O50" i="46"/>
  <c r="P30" i="46"/>
  <c r="P31" i="46"/>
  <c r="P67" i="46" s="1"/>
  <c r="O59" i="46"/>
  <c r="Q29" i="46"/>
  <c r="Q23" i="46"/>
  <c r="Q20" i="46"/>
  <c r="Q19" i="46" s="1"/>
  <c r="Q28" i="46"/>
  <c r="R26" i="46"/>
  <c r="Q54" i="46"/>
  <c r="Q51" i="46" s="1"/>
  <c r="N59" i="46"/>
  <c r="S38" i="46"/>
  <c r="R25" i="46"/>
  <c r="R14" i="46"/>
  <c r="R5" i="46"/>
  <c r="P66" i="46"/>
  <c r="P60" i="46"/>
  <c r="P58" i="46"/>
  <c r="P52" i="46" l="1"/>
  <c r="P69" i="46"/>
  <c r="P70" i="46"/>
  <c r="Q18" i="46"/>
  <c r="Q62" i="46"/>
  <c r="R20" i="46"/>
  <c r="R19" i="46" s="1"/>
  <c r="R18" i="46" s="1"/>
  <c r="R29" i="46"/>
  <c r="R23" i="46"/>
  <c r="N57" i="46"/>
  <c r="Q52" i="46"/>
  <c r="Q50" i="46"/>
  <c r="R54" i="46"/>
  <c r="P59" i="46"/>
  <c r="T38" i="46"/>
  <c r="S25" i="46"/>
  <c r="S14" i="46"/>
  <c r="S5" i="46"/>
  <c r="S26" i="46"/>
  <c r="R28" i="46"/>
  <c r="Q31" i="46"/>
  <c r="Q67" i="46" s="1"/>
  <c r="Q30" i="46"/>
  <c r="O57" i="46"/>
  <c r="S20" i="46" l="1"/>
  <c r="S29" i="46"/>
  <c r="S23" i="46"/>
  <c r="N56" i="46"/>
  <c r="R31" i="46"/>
  <c r="R67" i="46" s="1"/>
  <c r="R30" i="46"/>
  <c r="O56" i="46"/>
  <c r="T25" i="46"/>
  <c r="T5" i="46"/>
  <c r="U38" i="46"/>
  <c r="T14" i="46"/>
  <c r="P57" i="46"/>
  <c r="R62" i="46"/>
  <c r="R51" i="46"/>
  <c r="Q66" i="46"/>
  <c r="Q60" i="46"/>
  <c r="Q58" i="46"/>
  <c r="T26" i="46"/>
  <c r="S28" i="46"/>
  <c r="S54" i="46"/>
  <c r="S62" i="46" s="1"/>
  <c r="S19" i="46"/>
  <c r="Q69" i="46" l="1"/>
  <c r="Q70" i="46"/>
  <c r="U26" i="46"/>
  <c r="T28" i="46"/>
  <c r="T29" i="46"/>
  <c r="T23" i="46"/>
  <c r="T20" i="46"/>
  <c r="R52" i="46"/>
  <c r="R50" i="46"/>
  <c r="S66" i="46"/>
  <c r="S60" i="46"/>
  <c r="S58" i="46"/>
  <c r="R66" i="46"/>
  <c r="R60" i="46"/>
  <c r="R58" i="46"/>
  <c r="T54" i="46"/>
  <c r="T62" i="46" s="1"/>
  <c r="T19" i="46"/>
  <c r="T18" i="46" s="1"/>
  <c r="S51" i="46"/>
  <c r="S31" i="46"/>
  <c r="S67" i="46" s="1"/>
  <c r="S30" i="46"/>
  <c r="S18" i="46"/>
  <c r="Q59" i="46"/>
  <c r="P56" i="46"/>
  <c r="V38" i="46"/>
  <c r="U5" i="46"/>
  <c r="U14" i="46"/>
  <c r="U25" i="46"/>
  <c r="R70" i="46" l="1"/>
  <c r="R69" i="46"/>
  <c r="S69" i="46"/>
  <c r="S70" i="46"/>
  <c r="U29" i="46"/>
  <c r="U23" i="46"/>
  <c r="U20" i="46"/>
  <c r="U19" i="46" s="1"/>
  <c r="U18" i="46" s="1"/>
  <c r="U54" i="46"/>
  <c r="U62" i="46" s="1"/>
  <c r="S50" i="46"/>
  <c r="S52" i="46"/>
  <c r="T66" i="46"/>
  <c r="T60" i="46"/>
  <c r="T58" i="46"/>
  <c r="T51" i="46"/>
  <c r="S59" i="46"/>
  <c r="Q57" i="46"/>
  <c r="T30" i="46"/>
  <c r="T31" i="46"/>
  <c r="T67" i="46" s="1"/>
  <c r="W38" i="46"/>
  <c r="V14" i="46"/>
  <c r="V25" i="46"/>
  <c r="V5" i="46"/>
  <c r="R59" i="46"/>
  <c r="U28" i="46"/>
  <c r="V26" i="46"/>
  <c r="T69" i="46" l="1"/>
  <c r="T70" i="46"/>
  <c r="T52" i="46"/>
  <c r="T50" i="46"/>
  <c r="U31" i="46"/>
  <c r="U67" i="46" s="1"/>
  <c r="U30" i="46"/>
  <c r="V20" i="46"/>
  <c r="V19" i="46" s="1"/>
  <c r="V18" i="46" s="1"/>
  <c r="V29" i="46"/>
  <c r="V23" i="46"/>
  <c r="R57" i="46"/>
  <c r="V54" i="46"/>
  <c r="V62" i="46" s="1"/>
  <c r="Q56" i="46"/>
  <c r="T59" i="46"/>
  <c r="U66" i="46"/>
  <c r="U60" i="46"/>
  <c r="U58" i="46"/>
  <c r="U51" i="46"/>
  <c r="S57" i="46"/>
  <c r="W26" i="46"/>
  <c r="V28" i="46"/>
  <c r="X38" i="46"/>
  <c r="W25" i="46"/>
  <c r="W14" i="46"/>
  <c r="W5" i="46"/>
  <c r="U69" i="46" l="1"/>
  <c r="U70" i="46"/>
  <c r="W54" i="46"/>
  <c r="W62" i="46" s="1"/>
  <c r="W20" i="46"/>
  <c r="W19" i="46" s="1"/>
  <c r="W18" i="46" s="1"/>
  <c r="W29" i="46"/>
  <c r="W23" i="46"/>
  <c r="W51" i="46"/>
  <c r="U59" i="46"/>
  <c r="X25" i="46"/>
  <c r="Y38" i="46"/>
  <c r="X5" i="46"/>
  <c r="X14" i="46"/>
  <c r="S56" i="46"/>
  <c r="V51" i="46"/>
  <c r="T57" i="46"/>
  <c r="R56" i="46"/>
  <c r="U52" i="46"/>
  <c r="U50" i="46"/>
  <c r="X26" i="46"/>
  <c r="W28" i="46"/>
  <c r="V66" i="46"/>
  <c r="V58" i="46"/>
  <c r="V60" i="46"/>
  <c r="V31" i="46"/>
  <c r="V67" i="46" s="1"/>
  <c r="V30" i="46"/>
  <c r="V70" i="46" l="1"/>
  <c r="V69" i="46"/>
  <c r="W52" i="46"/>
  <c r="W50" i="46"/>
  <c r="T56" i="46"/>
  <c r="W58" i="46"/>
  <c r="W66" i="46"/>
  <c r="W60" i="46"/>
  <c r="Y26" i="46"/>
  <c r="X28" i="46"/>
  <c r="X54" i="46"/>
  <c r="X62" i="46" s="1"/>
  <c r="X16" i="46"/>
  <c r="AF16" i="46" s="1"/>
  <c r="X15" i="46"/>
  <c r="Z38" i="46"/>
  <c r="Y5" i="46"/>
  <c r="Y25" i="46"/>
  <c r="Y14" i="46"/>
  <c r="W31" i="46"/>
  <c r="W67" i="46" s="1"/>
  <c r="W30" i="46"/>
  <c r="V59" i="46"/>
  <c r="V52" i="46"/>
  <c r="V50" i="46"/>
  <c r="X51" i="46"/>
  <c r="X29" i="46"/>
  <c r="X23" i="46"/>
  <c r="X20" i="46"/>
  <c r="X19" i="46" s="1"/>
  <c r="X18" i="46" s="1"/>
  <c r="U57" i="46"/>
  <c r="W69" i="46" l="1"/>
  <c r="W70" i="46"/>
  <c r="U56" i="46"/>
  <c r="X30" i="46"/>
  <c r="X31" i="46"/>
  <c r="X67" i="46" s="1"/>
  <c r="V57" i="46"/>
  <c r="Y54" i="46"/>
  <c r="Y62" i="46" s="1"/>
  <c r="Y28" i="46"/>
  <c r="Z26" i="46"/>
  <c r="X50" i="46"/>
  <c r="X17" i="46"/>
  <c r="X68" i="46" s="1"/>
  <c r="Y15" i="46"/>
  <c r="X52" i="46"/>
  <c r="Y29" i="46"/>
  <c r="Y23" i="46"/>
  <c r="Y20" i="46"/>
  <c r="Y19" i="46" s="1"/>
  <c r="W59" i="46"/>
  <c r="AA38" i="46"/>
  <c r="Z14" i="46"/>
  <c r="Z25" i="46"/>
  <c r="Z5" i="46"/>
  <c r="X66" i="46"/>
  <c r="X60" i="46"/>
  <c r="X58" i="46"/>
  <c r="X69" i="46" l="1"/>
  <c r="X70" i="46"/>
  <c r="Y51" i="46"/>
  <c r="Y52" i="46"/>
  <c r="Y31" i="46"/>
  <c r="Y67" i="46" s="1"/>
  <c r="Y30" i="46"/>
  <c r="Z20" i="46"/>
  <c r="Z19" i="46" s="1"/>
  <c r="Z29" i="46"/>
  <c r="Z23" i="46"/>
  <c r="X59" i="46"/>
  <c r="Y66" i="46"/>
  <c r="Y60" i="46"/>
  <c r="Y58" i="46"/>
  <c r="W57" i="46"/>
  <c r="Y50" i="46"/>
  <c r="Z15" i="46"/>
  <c r="Y17" i="46"/>
  <c r="Y68" i="46" s="1"/>
  <c r="Y18" i="46"/>
  <c r="V56" i="46"/>
  <c r="Z54" i="46"/>
  <c r="Z62" i="46" s="1"/>
  <c r="AB38" i="46"/>
  <c r="AA25" i="46"/>
  <c r="AA14" i="46"/>
  <c r="AA5" i="46"/>
  <c r="AA26" i="46"/>
  <c r="Z28" i="46"/>
  <c r="Y69" i="46" l="1"/>
  <c r="Y70" i="46"/>
  <c r="Z51" i="46"/>
  <c r="Z52" i="46" s="1"/>
  <c r="Z18" i="46"/>
  <c r="AA54" i="46"/>
  <c r="AA62" i="46" s="1"/>
  <c r="Z50" i="46"/>
  <c r="AA15" i="46"/>
  <c r="Z17" i="46"/>
  <c r="Z68" i="46" s="1"/>
  <c r="AA20" i="46"/>
  <c r="AA19" i="46" s="1"/>
  <c r="AA29" i="46"/>
  <c r="AA23" i="46"/>
  <c r="Y59" i="46"/>
  <c r="X57" i="46"/>
  <c r="AB26" i="46"/>
  <c r="AA28" i="46"/>
  <c r="AB25" i="46"/>
  <c r="AC38" i="46"/>
  <c r="AB14" i="46"/>
  <c r="AB5" i="46"/>
  <c r="Z66" i="46"/>
  <c r="Z60" i="46"/>
  <c r="Z58" i="46"/>
  <c r="W56" i="46"/>
  <c r="Z31" i="46"/>
  <c r="Z67" i="46" s="1"/>
  <c r="Z30" i="46"/>
  <c r="AA18" i="46" l="1"/>
  <c r="Z70" i="46"/>
  <c r="Z69" i="46"/>
  <c r="AA17" i="46"/>
  <c r="AA68" i="46" s="1"/>
  <c r="AB15" i="46"/>
  <c r="AB51" i="46"/>
  <c r="AB52" i="46" s="1"/>
  <c r="AB29" i="46"/>
  <c r="AB23" i="46"/>
  <c r="AB20" i="46"/>
  <c r="X56" i="46"/>
  <c r="AA31" i="46"/>
  <c r="AA67" i="46" s="1"/>
  <c r="AA30" i="46"/>
  <c r="AA66" i="46"/>
  <c r="AA60" i="46"/>
  <c r="AA58" i="46"/>
  <c r="AB54" i="46"/>
  <c r="AB62" i="46" s="1"/>
  <c r="AB19" i="46"/>
  <c r="AB18" i="46" s="1"/>
  <c r="Y57" i="46"/>
  <c r="AA51" i="46"/>
  <c r="AA52" i="46" s="1"/>
  <c r="Z59" i="46"/>
  <c r="AD38" i="46"/>
  <c r="AC5" i="46"/>
  <c r="AC25" i="46"/>
  <c r="AC14" i="46"/>
  <c r="AB28" i="46"/>
  <c r="AR26" i="46"/>
  <c r="AT26" i="46" s="1"/>
  <c r="AP26" i="46"/>
  <c r="AS26" i="46" s="1"/>
  <c r="AA69" i="46" l="1"/>
  <c r="AA70" i="46"/>
  <c r="AC29" i="46"/>
  <c r="AC23" i="46"/>
  <c r="AC20" i="46"/>
  <c r="AC19" i="46" s="1"/>
  <c r="AC18" i="46" s="1"/>
  <c r="AE38" i="46"/>
  <c r="AD14" i="46"/>
  <c r="AD25" i="46"/>
  <c r="AD5" i="46"/>
  <c r="AB66" i="46"/>
  <c r="AB60" i="46"/>
  <c r="AB58" i="46"/>
  <c r="AB50" i="46"/>
  <c r="AB17" i="46"/>
  <c r="AB68" i="46" s="1"/>
  <c r="AC15" i="46"/>
  <c r="Y56" i="46"/>
  <c r="AC54" i="46"/>
  <c r="AC62" i="46" s="1"/>
  <c r="AC16" i="46"/>
  <c r="Z57" i="46"/>
  <c r="AA59" i="46"/>
  <c r="AB30" i="46"/>
  <c r="AB31" i="46"/>
  <c r="AB67" i="46" s="1"/>
  <c r="AA50" i="46"/>
  <c r="AB69" i="46" l="1"/>
  <c r="AB70" i="46"/>
  <c r="Z56" i="46"/>
  <c r="AC66" i="46"/>
  <c r="AC60" i="46"/>
  <c r="AC58" i="46"/>
  <c r="AC17" i="46"/>
  <c r="AC68" i="46" s="1"/>
  <c r="AB59" i="46"/>
  <c r="AD54" i="46"/>
  <c r="AD62" i="46" s="1"/>
  <c r="AD15" i="46"/>
  <c r="AC31" i="46"/>
  <c r="AC67" i="46" s="1"/>
  <c r="AC30" i="46"/>
  <c r="AA57" i="46"/>
  <c r="AD20" i="46"/>
  <c r="AD19" i="46" s="1"/>
  <c r="AD18" i="46" s="1"/>
  <c r="AD23" i="46"/>
  <c r="AD29" i="46"/>
  <c r="AF38" i="46"/>
  <c r="AE25" i="46"/>
  <c r="AE14" i="46"/>
  <c r="AE5" i="46"/>
  <c r="AC51" i="46"/>
  <c r="AC52" i="46" s="1"/>
  <c r="AC69" i="46" l="1"/>
  <c r="AC70" i="46"/>
  <c r="AD31" i="46"/>
  <c r="AD67" i="46" s="1"/>
  <c r="AD30" i="46"/>
  <c r="AC59" i="46"/>
  <c r="AE54" i="46"/>
  <c r="AE62" i="46" s="1"/>
  <c r="AE15" i="46"/>
  <c r="AA56" i="46"/>
  <c r="AD17" i="46"/>
  <c r="AD68" i="46" s="1"/>
  <c r="AE51" i="46"/>
  <c r="AE20" i="46"/>
  <c r="AE19" i="46" s="1"/>
  <c r="AE18" i="46" s="1"/>
  <c r="AE29" i="46"/>
  <c r="AE23" i="46"/>
  <c r="AD66" i="46"/>
  <c r="AD58" i="46"/>
  <c r="AD60" i="46"/>
  <c r="AC50" i="46"/>
  <c r="AF25" i="46"/>
  <c r="AF14" i="46"/>
  <c r="AF5" i="46"/>
  <c r="AG38" i="46"/>
  <c r="AD51" i="46"/>
  <c r="AD52" i="46" s="1"/>
  <c r="AB57" i="46"/>
  <c r="AD70" i="46" l="1"/>
  <c r="AD69" i="46"/>
  <c r="AH38" i="46"/>
  <c r="AG14" i="46"/>
  <c r="AG25" i="46"/>
  <c r="AG5" i="46"/>
  <c r="AC57" i="46"/>
  <c r="AB56" i="46"/>
  <c r="AD59" i="46"/>
  <c r="AE31" i="46"/>
  <c r="AE67" i="46" s="1"/>
  <c r="AE30" i="46"/>
  <c r="AE50" i="46"/>
  <c r="AE17" i="46"/>
  <c r="AE68" i="46" s="1"/>
  <c r="AF54" i="46"/>
  <c r="AF62" i="46" s="1"/>
  <c r="AF15" i="46"/>
  <c r="AD50" i="46"/>
  <c r="AF29" i="46"/>
  <c r="AF23" i="46"/>
  <c r="AF20" i="46"/>
  <c r="AF19" i="46" s="1"/>
  <c r="AF18" i="46" s="1"/>
  <c r="AE52" i="46"/>
  <c r="AE66" i="46"/>
  <c r="AE58" i="46"/>
  <c r="AE60" i="46"/>
  <c r="AE69" i="46" l="1"/>
  <c r="AE70" i="46"/>
  <c r="AF51" i="46"/>
  <c r="AF52" i="46" s="1"/>
  <c r="AF30" i="46"/>
  <c r="AF31" i="46"/>
  <c r="AF67" i="46" s="1"/>
  <c r="AF66" i="46"/>
  <c r="AF60" i="46"/>
  <c r="AF58" i="46"/>
  <c r="AG29" i="46"/>
  <c r="AG23" i="46"/>
  <c r="AG20" i="46"/>
  <c r="AG19" i="46" s="1"/>
  <c r="AE59" i="46"/>
  <c r="AD57" i="46"/>
  <c r="AC56" i="46"/>
  <c r="AG54" i="46"/>
  <c r="AG62" i="46" s="1"/>
  <c r="AG15" i="46"/>
  <c r="AF17" i="46"/>
  <c r="AF68" i="46" s="1"/>
  <c r="AI38" i="46"/>
  <c r="AH14" i="46"/>
  <c r="AH25" i="46"/>
  <c r="AH5" i="46"/>
  <c r="AF69" i="46" l="1"/>
  <c r="AF70" i="46"/>
  <c r="AF50" i="46"/>
  <c r="AG66" i="46"/>
  <c r="AG60" i="46"/>
  <c r="AG58" i="46"/>
  <c r="AD56" i="46"/>
  <c r="AF59" i="46"/>
  <c r="AH20" i="46"/>
  <c r="AH29" i="46"/>
  <c r="AH23" i="46"/>
  <c r="AE57" i="46"/>
  <c r="AG31" i="46"/>
  <c r="AG67" i="46" s="1"/>
  <c r="AG30" i="46"/>
  <c r="AH54" i="46"/>
  <c r="AH62" i="46" s="1"/>
  <c r="AH15" i="46"/>
  <c r="AH19" i="46"/>
  <c r="AH18" i="46" s="1"/>
  <c r="AG50" i="46"/>
  <c r="AG17" i="46"/>
  <c r="AG68" i="46" s="1"/>
  <c r="AG51" i="46"/>
  <c r="AG52" i="46" s="1"/>
  <c r="AJ38" i="46"/>
  <c r="AI25" i="46"/>
  <c r="AI14" i="46"/>
  <c r="AI5" i="46"/>
  <c r="AG18" i="46"/>
  <c r="AG69" i="46" l="1"/>
  <c r="AG70" i="46"/>
  <c r="AH66" i="46"/>
  <c r="AH60" i="46"/>
  <c r="AH58" i="46"/>
  <c r="AH51" i="46"/>
  <c r="AH52" i="46" s="1"/>
  <c r="AI20" i="46"/>
  <c r="AI29" i="46"/>
  <c r="AI23" i="46"/>
  <c r="AF57" i="46"/>
  <c r="AJ25" i="46"/>
  <c r="AJ5" i="46"/>
  <c r="AJ14" i="46"/>
  <c r="AK38" i="46"/>
  <c r="AH31" i="46"/>
  <c r="AH67" i="46" s="1"/>
  <c r="AH30" i="46"/>
  <c r="AG59" i="46"/>
  <c r="AI54" i="46"/>
  <c r="AI62" i="46" s="1"/>
  <c r="AI19" i="46"/>
  <c r="AI15" i="46"/>
  <c r="AE56" i="46"/>
  <c r="AH50" i="46"/>
  <c r="AH17" i="46"/>
  <c r="AH68" i="46" s="1"/>
  <c r="AH70" i="46" l="1"/>
  <c r="AH69" i="46"/>
  <c r="AI18" i="46"/>
  <c r="AI66" i="46"/>
  <c r="AI60" i="46"/>
  <c r="AI58" i="46"/>
  <c r="AJ29" i="46"/>
  <c r="AJ23" i="46"/>
  <c r="AJ20" i="46"/>
  <c r="AI31" i="46"/>
  <c r="AI67" i="46" s="1"/>
  <c r="AI30" i="46"/>
  <c r="AG57" i="46"/>
  <c r="AL38" i="46"/>
  <c r="AK14" i="46"/>
  <c r="AK5" i="46"/>
  <c r="AK25" i="46"/>
  <c r="AF56" i="46"/>
  <c r="AH59" i="46"/>
  <c r="AI17" i="46"/>
  <c r="AI68" i="46" s="1"/>
  <c r="AJ54" i="46"/>
  <c r="AJ62" i="46" s="1"/>
  <c r="AJ19" i="46"/>
  <c r="AJ15" i="46"/>
  <c r="AI51" i="46"/>
  <c r="AI52" i="46" s="1"/>
  <c r="AI69" i="46" l="1"/>
  <c r="AI70" i="46"/>
  <c r="AJ51" i="46"/>
  <c r="AJ52" i="46" s="1"/>
  <c r="AJ17" i="46"/>
  <c r="AJ68" i="46" s="1"/>
  <c r="AM38" i="46"/>
  <c r="AL14" i="46"/>
  <c r="AL25" i="46"/>
  <c r="AL5" i="46"/>
  <c r="AJ18" i="46"/>
  <c r="AH57" i="46"/>
  <c r="AK29" i="46"/>
  <c r="AK23" i="46"/>
  <c r="AK20" i="46"/>
  <c r="AG56" i="46"/>
  <c r="AJ66" i="46"/>
  <c r="AJ60" i="46"/>
  <c r="AJ58" i="46"/>
  <c r="AI59" i="46"/>
  <c r="AI50" i="46"/>
  <c r="AK54" i="46"/>
  <c r="AK62" i="46" s="1"/>
  <c r="AK19" i="46"/>
  <c r="AK15" i="46"/>
  <c r="AJ30" i="46"/>
  <c r="AJ31" i="46"/>
  <c r="AJ67" i="46" s="1"/>
  <c r="AJ69" i="46" l="1"/>
  <c r="AJ70" i="46"/>
  <c r="AJ50" i="46"/>
  <c r="AK17" i="46"/>
  <c r="AK68" i="46" s="1"/>
  <c r="AI57" i="46"/>
  <c r="AL15" i="46"/>
  <c r="AL54" i="46"/>
  <c r="AL62" i="46" s="1"/>
  <c r="AK18" i="46"/>
  <c r="AK31" i="46"/>
  <c r="AK67" i="46" s="1"/>
  <c r="AK30" i="46"/>
  <c r="AU38" i="46"/>
  <c r="AN38" i="46"/>
  <c r="AN40" i="46" s="1"/>
  <c r="AN42" i="46" s="1"/>
  <c r="AM25" i="46"/>
  <c r="AO38" i="46"/>
  <c r="AM14" i="46"/>
  <c r="AM5" i="46"/>
  <c r="AM39" i="46"/>
  <c r="D41" i="46" s="1"/>
  <c r="AR38" i="46"/>
  <c r="AK66" i="46"/>
  <c r="AK60" i="46"/>
  <c r="AK58" i="46"/>
  <c r="AK51" i="46"/>
  <c r="AK52" i="46" s="1"/>
  <c r="AJ59" i="46"/>
  <c r="AH56" i="46"/>
  <c r="AL51" i="46"/>
  <c r="AL52" i="46" s="1"/>
  <c r="AL20" i="46"/>
  <c r="AL19" i="46" s="1"/>
  <c r="AL29" i="46"/>
  <c r="AL23" i="46"/>
  <c r="AK69" i="46" l="1"/>
  <c r="AK70" i="46"/>
  <c r="AL18" i="46"/>
  <c r="AO5" i="46"/>
  <c r="AN5" i="46"/>
  <c r="AV5" i="46"/>
  <c r="AU5" i="46"/>
  <c r="AR5" i="46"/>
  <c r="AT5" i="46" s="1"/>
  <c r="AP5" i="46"/>
  <c r="AS5" i="46" s="1"/>
  <c r="AM54" i="46"/>
  <c r="AM51" i="46" s="1"/>
  <c r="AU14" i="46"/>
  <c r="AM16" i="46"/>
  <c r="AO14" i="46"/>
  <c r="AN14" i="46"/>
  <c r="AM19" i="46"/>
  <c r="AM15" i="46"/>
  <c r="AV14" i="46"/>
  <c r="AR14" i="46"/>
  <c r="AT14" i="46" s="1"/>
  <c r="AP14" i="46"/>
  <c r="AS14" i="46" s="1"/>
  <c r="AI56" i="46"/>
  <c r="AL31" i="46"/>
  <c r="AL67" i="46" s="1"/>
  <c r="AL30" i="46"/>
  <c r="AL66" i="46"/>
  <c r="AL58" i="46"/>
  <c r="AL60" i="46"/>
  <c r="AJ57" i="46"/>
  <c r="AK59" i="46"/>
  <c r="AN25" i="46"/>
  <c r="AM20" i="46"/>
  <c r="AR20" i="46" s="1"/>
  <c r="AM29" i="46"/>
  <c r="AU25" i="46"/>
  <c r="AO25" i="46"/>
  <c r="AM23" i="46"/>
  <c r="AV25" i="46"/>
  <c r="AP25" i="46"/>
  <c r="AS25" i="46" s="1"/>
  <c r="AR25" i="46"/>
  <c r="AT25" i="46" s="1"/>
  <c r="AL50" i="46"/>
  <c r="AL17" i="46"/>
  <c r="AL68" i="46" s="1"/>
  <c r="AK50" i="46"/>
  <c r="AM52" i="46" l="1"/>
  <c r="AL70" i="46"/>
  <c r="AL69" i="46"/>
  <c r="AP52" i="46"/>
  <c r="AR52" i="46"/>
  <c r="AO19" i="46"/>
  <c r="AM18" i="46"/>
  <c r="AN19" i="46"/>
  <c r="AP19" i="46"/>
  <c r="AR19" i="46"/>
  <c r="AL59" i="46"/>
  <c r="AM62" i="46"/>
  <c r="AO54" i="46"/>
  <c r="AN54" i="46"/>
  <c r="AR54" i="46"/>
  <c r="AP54" i="46"/>
  <c r="AO23" i="46"/>
  <c r="AN23" i="46"/>
  <c r="AP23" i="46"/>
  <c r="AS23" i="46" s="1"/>
  <c r="AR23" i="46"/>
  <c r="AT23" i="46" s="1"/>
  <c r="AM31" i="46"/>
  <c r="AM30" i="46"/>
  <c r="AR30" i="46" s="1"/>
  <c r="AR29" i="46"/>
  <c r="AK57" i="46"/>
  <c r="AT20" i="46"/>
  <c r="AJ56" i="46"/>
  <c r="AM50" i="46"/>
  <c r="AR50" i="46" s="1"/>
  <c r="AM17" i="46"/>
  <c r="AR15" i="46"/>
  <c r="AT38" i="46"/>
  <c r="AR31" i="46" l="1"/>
  <c r="AM67" i="46"/>
  <c r="AR67" i="46" s="1"/>
  <c r="AR17" i="46"/>
  <c r="AT17" i="46" s="1"/>
  <c r="AM68" i="46"/>
  <c r="AR68" i="46" s="1"/>
  <c r="AM58" i="46"/>
  <c r="AM60" i="46"/>
  <c r="AM66" i="46"/>
  <c r="AP62" i="46"/>
  <c r="AR62" i="46"/>
  <c r="AN18" i="46"/>
  <c r="AP18" i="46"/>
  <c r="AR18" i="46"/>
  <c r="AK56" i="46"/>
  <c r="AT15" i="46"/>
  <c r="AL57" i="46"/>
  <c r="AM69" i="46" l="1"/>
  <c r="AR69" i="46" s="1"/>
  <c r="AM70" i="46"/>
  <c r="AR70" i="46" s="1"/>
  <c r="AP66" i="46"/>
  <c r="AR66" i="46"/>
  <c r="AM59" i="46"/>
  <c r="AR60" i="46"/>
  <c r="AP60" i="46"/>
  <c r="AL56" i="46"/>
  <c r="AP58" i="46"/>
  <c r="AR58" i="46"/>
  <c r="AM57" i="46" l="1"/>
  <c r="AR59" i="46"/>
  <c r="AP59" i="46"/>
  <c r="AM56" i="46" l="1"/>
  <c r="AP57" i="46"/>
  <c r="AR57" i="46"/>
  <c r="AP56" i="46" l="1"/>
</calcChain>
</file>

<file path=xl/sharedStrings.xml><?xml version="1.0" encoding="utf-8"?>
<sst xmlns="http://schemas.openxmlformats.org/spreadsheetml/2006/main" count="166" uniqueCount="92">
  <si>
    <t>NG</t>
  </si>
  <si>
    <t>COAL</t>
  </si>
  <si>
    <t>Growth (2016-2050)</t>
  </si>
  <si>
    <t>Gigatonnes</t>
  </si>
  <si>
    <t>increments</t>
  </si>
  <si>
    <t xml:space="preserve"> </t>
  </si>
  <si>
    <t>Reduction from 2025 to get to -80% of 2005 (CPP) by 2050</t>
  </si>
  <si>
    <t>Annual % decrease</t>
  </si>
  <si>
    <t>Reduction YEAR</t>
  </si>
  <si>
    <t xml:space="preserve">% of fuel type </t>
  </si>
  <si>
    <t>Coal</t>
  </si>
  <si>
    <t>NG CCS ( + others below)</t>
  </si>
  <si>
    <t>Mtoe</t>
  </si>
  <si>
    <t>Oil</t>
  </si>
  <si>
    <t xml:space="preserve">% fuel of 2025 ref case no CPP total= </t>
  </si>
  <si>
    <t>at +10 y CCS=10%</t>
  </si>
  <si>
    <t>coal reduced to 10% at +10y</t>
  </si>
  <si>
    <t>increment reduction 2025-2035 =</t>
  </si>
  <si>
    <t>increment reduction 2035-2040 =</t>
  </si>
  <si>
    <t>at +15y CCS=75%</t>
  </si>
  <si>
    <t>at +25 y CCS=80%</t>
  </si>
  <si>
    <t>increments to 75%=</t>
  </si>
  <si>
    <t>increase  CCS%  = 1%/y  2041 -45</t>
  </si>
  <si>
    <t>annual % decline from 2025</t>
  </si>
  <si>
    <t>EIA ref. case NG with CPP</t>
  </si>
  <si>
    <t>EIA ref. case NG without CPP</t>
  </si>
  <si>
    <t>Mtoe (NG)</t>
  </si>
  <si>
    <t>Mtoe (coal)</t>
  </si>
  <si>
    <t>2024 (PEAK)</t>
  </si>
  <si>
    <t>Total US annual emissions (Gt) to get to -80% of 2005 by 2050 starting in 2025</t>
  </si>
  <si>
    <t>MMT CO2</t>
  </si>
  <si>
    <t>total US emissions with  CPP 2000-2050 =</t>
  </si>
  <si>
    <t>Total global emissions with US at 17.2% (calc. from BP 2016) and everyone peaks at 2019 =</t>
  </si>
  <si>
    <t>oil+NG+coal only</t>
  </si>
  <si>
    <t>SUM by fuel type 2025-2050</t>
  </si>
  <si>
    <t>CO2 added from coal 2025-2050 +  total NG CO2 at 3.0% annual reduction</t>
  </si>
  <si>
    <t>NG with yearly reduction of 3.0%</t>
  </si>
  <si>
    <t>NG + coal with yearly reduction of 3.0%</t>
  </si>
  <si>
    <t>SUM by fuel type 2015-2050 (Mtoe)</t>
  </si>
  <si>
    <t>SUM by fuel type 2025-2050 (Mtoe)</t>
  </si>
  <si>
    <t>SUM by fuel type 2015-2050</t>
  </si>
  <si>
    <t>CATEGORY</t>
  </si>
  <si>
    <t xml:space="preserve">CO2 added from coal 2025 - 2050 &amp; CO2 in CCS +  total NG CO2 at 3% annual reduction </t>
  </si>
  <si>
    <t>Avg annual rate of change 2025-2050 (%)</t>
  </si>
  <si>
    <t>Avg annual rate of change 2015-2050 (%)</t>
  </si>
  <si>
    <t>PLOT CATEGORIES</t>
  </si>
  <si>
    <t>UNITS</t>
  </si>
  <si>
    <t>Reduction from 2005 levels (%;)</t>
  </si>
  <si>
    <t xml:space="preserve">FOSSIL FUEL TYPE </t>
  </si>
  <si>
    <t>Carbon Dioxide: Total Petroleum: Reference case with CPP (EIA, 2017)</t>
  </si>
  <si>
    <t>Carbon Dioxide: Total Petroleum: Reference case without CPP (EIA, 2017)</t>
  </si>
  <si>
    <t>Carbon Dioxide: Total Petroleum 2015 to 2024 &amp; annual avg reduction of 3.0% 2025 to 2050</t>
  </si>
  <si>
    <t>NATURAL GAS (NG)</t>
  </si>
  <si>
    <t>Carbon Dioxide: Total NG: Reference case with CPP (EIA, 2017)</t>
  </si>
  <si>
    <t>Carbon Dioxide: Total NG: Reference case without CPP (EIA, 2017)</t>
  </si>
  <si>
    <t>Carbon Dioxide: Total NG 2015 to 2024 &amp; annual avg reduction of 3.0% 2025 to 2050</t>
  </si>
  <si>
    <t>Carbon Dioxide: Total Coal 2015 to 2024 &amp; annual avg reduction of 3.0% 2025 to 2050</t>
  </si>
  <si>
    <t>Carbon Dioxide: Total Coal: Reference case with CPP (EIA, 2017)</t>
  </si>
  <si>
    <t>Carbon Dioxide: Total by Fuel: Coal: Reference case without CPP (EIA, 2017)</t>
  </si>
  <si>
    <t>Reference case with CCP (EIA, 2017)</t>
  </si>
  <si>
    <t>Reference case without CCP (EIA, 2017)</t>
  </si>
  <si>
    <t>Total Fossil Fuels</t>
  </si>
  <si>
    <t>Tcf</t>
  </si>
  <si>
    <t>PETROLEUM (OIL)</t>
  </si>
  <si>
    <t>* 1 Mtoe equals 0.0392 Tcf (or  39.2 Bcf; BP, 2017)</t>
  </si>
  <si>
    <t xml:space="preserve">Conversion CO2 MMT to Mtoe </t>
  </si>
  <si>
    <t xml:space="preserve"> NG added by modeled coal reduction 2025-2050 </t>
  </si>
  <si>
    <t xml:space="preserve">Total NG </t>
  </si>
  <si>
    <t>Total NG without NG CCS</t>
  </si>
  <si>
    <t>Total US emissions at 2005 (EIA, 2011; Table 6)</t>
  </si>
  <si>
    <r>
      <t xml:space="preserve">2025    </t>
    </r>
    <r>
      <rPr>
        <sz val="10"/>
        <color theme="1"/>
        <rFont val="Calibri"/>
        <family val="2"/>
        <scheme val="minor"/>
      </rPr>
      <t>(Start Reducing emssions)</t>
    </r>
  </si>
  <si>
    <t>Carbon Dioxide: Total Petroleum: Reference case with Clean Power Plan (CPP; EIA, 2017)</t>
  </si>
  <si>
    <r>
      <t>UNITS</t>
    </r>
    <r>
      <rPr>
        <vertAlign val="superscript"/>
        <sz val="11"/>
        <color theme="1"/>
        <rFont val="Calibri"/>
        <family val="2"/>
        <scheme val="minor"/>
      </rPr>
      <t>1</t>
    </r>
  </si>
  <si>
    <t>C-ROADS (2018) 2100 Temp  ( C ) with 3%/y decrease beginning 2025</t>
  </si>
  <si>
    <t>[1] UNITS</t>
  </si>
  <si>
    <t>Gigatonne = 1000 MMT</t>
  </si>
  <si>
    <t>MMT CO2 = million metric tons of CO2</t>
  </si>
  <si>
    <t>Mtoe = million tonnes of oil equivalent</t>
  </si>
  <si>
    <t>Tcf = trillion cubic feet</t>
  </si>
  <si>
    <t>Coal: Modeled Reduction to 10% of 2025 by 2030  and 0% by 2035</t>
  </si>
  <si>
    <t>Coal: Modeled reduction to 10% of 2025 by 2030 and 0% by 2035</t>
  </si>
  <si>
    <t>Modeled targets and dates for reduction of coal</t>
  </si>
  <si>
    <t>Modeled CO2 added from coal 2025 - 2050 + modeled coal + NG -80%</t>
  </si>
  <si>
    <t>Total NG with CCS but without modeled coal (2025-2050)</t>
  </si>
  <si>
    <t>NG (-3.0%) + Coal with modeled reductions</t>
  </si>
  <si>
    <r>
      <t xml:space="preserve"> NG added by modeled  CCS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2025-2050 </t>
    </r>
  </si>
  <si>
    <t>Modeled carbon capture and storage (CCS) of NG CO2 starting 2025</t>
  </si>
  <si>
    <t>Modeled CCS target levels and date</t>
  </si>
  <si>
    <t>Modeled CCS of NG CO2 starting 2025</t>
  </si>
  <si>
    <t>Coal emission modeled reductions</t>
  </si>
  <si>
    <t>(1 Mtoe)</t>
  </si>
  <si>
    <t>Data used in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</si>
</sst>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%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Fill="0" applyBorder="0"/>
    <xf numFmtId="9" fontId="2" fillId="0" borderId="0" applyFont="0" applyFill="0" applyBorder="0" applyAlignment="0" applyProtection="0"/>
  </cellStyleXfs>
  <cellXfs count="194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 vertical="center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 applyAlignment="1">
      <alignment horizontal="left" vertical="center"/>
    </xf>
    <xf numFmtId="9" fontId="0" fillId="0" borderId="0" xfId="2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0" fillId="0" borderId="0" xfId="0" applyNumberFormat="1" applyAlignment="1">
      <alignment horizontal="left" vertical="center"/>
    </xf>
    <xf numFmtId="2" fontId="0" fillId="0" borderId="2" xfId="0" applyNumberFormat="1" applyBorder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2" fontId="0" fillId="4" borderId="0" xfId="0" applyNumberFormat="1" applyFill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2" fontId="4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right"/>
    </xf>
    <xf numFmtId="2" fontId="0" fillId="3" borderId="0" xfId="0" applyNumberFormat="1" applyFill="1" applyAlignment="1">
      <alignment horizontal="right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0" borderId="1" xfId="0" applyNumberFormat="1" applyFont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166" fontId="0" fillId="0" borderId="0" xfId="2" applyNumberFormat="1" applyFont="1"/>
    <xf numFmtId="166" fontId="0" fillId="0" borderId="0" xfId="2" applyNumberFormat="1" applyFont="1" applyAlignment="1">
      <alignment horizontal="left" vertical="center"/>
    </xf>
    <xf numFmtId="165" fontId="0" fillId="3" borderId="0" xfId="0" applyNumberFormat="1" applyFill="1"/>
    <xf numFmtId="2" fontId="9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0" fontId="4" fillId="0" borderId="0" xfId="0" applyFont="1"/>
    <xf numFmtId="0" fontId="4" fillId="3" borderId="0" xfId="0" applyFont="1" applyFill="1"/>
    <xf numFmtId="164" fontId="0" fillId="3" borderId="0" xfId="0" applyNumberFormat="1" applyFill="1"/>
    <xf numFmtId="1" fontId="0" fillId="0" borderId="0" xfId="0" applyNumberFormat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2" fontId="0" fillId="0" borderId="0" xfId="0" applyNumberFormat="1" applyAlignment="1">
      <alignment horizontal="right" vertical="center"/>
    </xf>
    <xf numFmtId="2" fontId="9" fillId="0" borderId="0" xfId="0" applyNumberFormat="1" applyFont="1" applyAlignment="1">
      <alignment horizontal="right"/>
    </xf>
    <xf numFmtId="166" fontId="9" fillId="0" borderId="0" xfId="2" applyNumberFormat="1" applyFont="1"/>
    <xf numFmtId="2" fontId="11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2" fontId="11" fillId="0" borderId="1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left" vertical="center"/>
    </xf>
    <xf numFmtId="2" fontId="8" fillId="0" borderId="3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9" fillId="0" borderId="0" xfId="0" applyNumberFormat="1" applyFont="1" applyAlignment="1">
      <alignment horizontal="center" vertical="center"/>
    </xf>
    <xf numFmtId="11" fontId="0" fillId="2" borderId="0" xfId="0" applyNumberFormat="1" applyFill="1" applyAlignment="1">
      <alignment horizontal="center" vertical="center"/>
    </xf>
    <xf numFmtId="11" fontId="12" fillId="0" borderId="0" xfId="0" applyNumberFormat="1" applyFont="1" applyAlignment="1">
      <alignment horizontal="center" vertical="center"/>
    </xf>
    <xf numFmtId="0" fontId="0" fillId="4" borderId="0" xfId="0" applyFill="1" applyAlignment="1">
      <alignment vertical="center" wrapText="1"/>
    </xf>
    <xf numFmtId="2" fontId="11" fillId="0" borderId="0" xfId="0" applyNumberFormat="1" applyFont="1" applyAlignment="1">
      <alignment horizontal="right" vertical="center"/>
    </xf>
    <xf numFmtId="10" fontId="11" fillId="0" borderId="0" xfId="2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0" fillId="5" borderId="0" xfId="0" applyFill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left" vertical="center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7" fontId="0" fillId="0" borderId="0" xfId="0" applyNumberFormat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166" fontId="0" fillId="0" borderId="0" xfId="2" applyNumberFormat="1" applyFont="1" applyAlignment="1">
      <alignment horizontal="left"/>
    </xf>
    <xf numFmtId="166" fontId="4" fillId="0" borderId="0" xfId="2" applyNumberFormat="1" applyFont="1"/>
    <xf numFmtId="166" fontId="0" fillId="0" borderId="0" xfId="2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left" vertical="center"/>
    </xf>
    <xf numFmtId="2" fontId="8" fillId="4" borderId="0" xfId="0" applyNumberFormat="1" applyFont="1" applyFill="1" applyAlignment="1">
      <alignment horizontal="left" vertical="center"/>
    </xf>
    <xf numFmtId="2" fontId="14" fillId="4" borderId="0" xfId="0" applyNumberFormat="1" applyFont="1" applyFill="1" applyAlignment="1">
      <alignment horizontal="left" vertical="center"/>
    </xf>
    <xf numFmtId="10" fontId="8" fillId="0" borderId="0" xfId="0" applyNumberFormat="1" applyFont="1" applyAlignment="1">
      <alignment horizontal="left" vertical="center"/>
    </xf>
    <xf numFmtId="166" fontId="8" fillId="0" borderId="0" xfId="2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6" fontId="8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0" fillId="0" borderId="0" xfId="0" applyNumberFormat="1" applyFill="1" applyAlignment="1">
      <alignment horizontal="left" vertical="center"/>
    </xf>
    <xf numFmtId="167" fontId="0" fillId="0" borderId="0" xfId="0" applyNumberFormat="1" applyAlignment="1">
      <alignment horizontal="center"/>
    </xf>
    <xf numFmtId="167" fontId="9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horizontal="center" vertical="center"/>
    </xf>
    <xf numFmtId="166" fontId="0" fillId="0" borderId="0" xfId="2" applyNumberFormat="1" applyFont="1" applyFill="1" applyAlignment="1">
      <alignment horizontal="center" vertical="center"/>
    </xf>
    <xf numFmtId="11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166" fontId="0" fillId="0" borderId="0" xfId="2" applyNumberFormat="1" applyFont="1" applyFill="1" applyAlignment="1">
      <alignment horizontal="left" vertical="center"/>
    </xf>
    <xf numFmtId="167" fontId="0" fillId="0" borderId="0" xfId="0" applyNumberFormat="1" applyFill="1" applyAlignment="1">
      <alignment horizontal="center" vertical="center"/>
    </xf>
    <xf numFmtId="11" fontId="4" fillId="0" borderId="0" xfId="0" applyNumberFormat="1" applyFont="1" applyFill="1" applyAlignment="1">
      <alignment horizontal="center" vertical="center"/>
    </xf>
    <xf numFmtId="11" fontId="9" fillId="0" borderId="0" xfId="0" applyNumberFormat="1" applyFont="1" applyFill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167" fontId="10" fillId="0" borderId="0" xfId="0" applyNumberFormat="1" applyFont="1" applyFill="1" applyAlignment="1">
      <alignment horizontal="center" vertical="center"/>
    </xf>
    <xf numFmtId="166" fontId="2" fillId="0" borderId="0" xfId="2" applyNumberFormat="1" applyFont="1" applyFill="1" applyAlignment="1">
      <alignment horizontal="center" vertical="center"/>
    </xf>
    <xf numFmtId="11" fontId="0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167" fontId="0" fillId="0" borderId="0" xfId="0" applyNumberFormat="1" applyFont="1" applyFill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2" fillId="0" borderId="0" xfId="2" applyNumberFormat="1" applyFont="1" applyAlignment="1">
      <alignment horizontal="center" vertical="center"/>
    </xf>
    <xf numFmtId="9" fontId="2" fillId="0" borderId="0" xfId="2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67" fontId="0" fillId="4" borderId="0" xfId="0" applyNumberFormat="1" applyFont="1" applyFill="1" applyAlignment="1">
      <alignment horizontal="center" vertical="center"/>
    </xf>
    <xf numFmtId="166" fontId="2" fillId="4" borderId="0" xfId="2" applyNumberFormat="1" applyFont="1" applyFill="1" applyAlignment="1">
      <alignment horizontal="center" vertical="center"/>
    </xf>
    <xf numFmtId="1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1" fontId="0" fillId="4" borderId="0" xfId="0" applyNumberFormat="1" applyFont="1" applyFill="1" applyAlignment="1">
      <alignment horizontal="center" vertical="center"/>
    </xf>
    <xf numFmtId="166" fontId="2" fillId="0" borderId="0" xfId="2" applyNumberFormat="1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67" fontId="0" fillId="0" borderId="0" xfId="0" applyNumberFormat="1" applyFont="1" applyAlignment="1">
      <alignment horizontal="center" vertical="center"/>
    </xf>
    <xf numFmtId="166" fontId="0" fillId="0" borderId="0" xfId="0" applyNumberFormat="1" applyFont="1" applyAlignment="1">
      <alignment horizontal="left" vertical="center"/>
    </xf>
    <xf numFmtId="9" fontId="2" fillId="0" borderId="0" xfId="2" applyFont="1" applyAlignment="1">
      <alignment horizontal="left" vertical="center"/>
    </xf>
    <xf numFmtId="1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6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167" fontId="12" fillId="0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1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/>
    </xf>
    <xf numFmtId="164" fontId="9" fillId="0" borderId="0" xfId="0" applyNumberFormat="1" applyFont="1" applyFill="1" applyAlignment="1">
      <alignment vertical="center"/>
    </xf>
    <xf numFmtId="2" fontId="0" fillId="2" borderId="0" xfId="0" applyNumberFormat="1" applyFill="1" applyAlignment="1">
      <alignment vertical="center"/>
    </xf>
    <xf numFmtId="2" fontId="0" fillId="4" borderId="0" xfId="0" applyNumberFormat="1" applyFill="1" applyAlignment="1">
      <alignment vertical="center"/>
    </xf>
    <xf numFmtId="0" fontId="0" fillId="4" borderId="0" xfId="0" applyFill="1"/>
    <xf numFmtId="2" fontId="0" fillId="4" borderId="0" xfId="0" applyNumberFormat="1" applyFill="1"/>
    <xf numFmtId="166" fontId="0" fillId="0" borderId="0" xfId="2" applyNumberFormat="1" applyFont="1" applyFill="1"/>
    <xf numFmtId="0" fontId="0" fillId="0" borderId="0" xfId="0" applyFill="1" applyAlignment="1">
      <alignment vertical="center"/>
    </xf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2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2" fontId="4" fillId="5" borderId="0" xfId="0" applyNumberFormat="1" applyFont="1" applyFill="1" applyAlignment="1">
      <alignment horizontal="left" vertical="center"/>
    </xf>
    <xf numFmtId="2" fontId="4" fillId="5" borderId="0" xfId="0" applyNumberFormat="1" applyFont="1" applyFill="1" applyAlignment="1">
      <alignment vertical="center"/>
    </xf>
    <xf numFmtId="166" fontId="4" fillId="0" borderId="0" xfId="2" applyNumberFormat="1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166" fontId="15" fillId="0" borderId="0" xfId="2" applyNumberFormat="1" applyFont="1"/>
    <xf numFmtId="167" fontId="15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6" fontId="0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2" fontId="0" fillId="5" borderId="0" xfId="0" applyNumberForma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6" fillId="5" borderId="0" xfId="0" applyFont="1" applyFill="1" applyAlignment="1">
      <alignment horizontal="left" vertical="top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6" borderId="0" xfId="0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horizontal="left" vertical="center" wrapText="1"/>
    </xf>
    <xf numFmtId="0" fontId="19" fillId="7" borderId="0" xfId="0" applyFont="1" applyFill="1" applyAlignment="1">
      <alignment horizontal="center" vertical="center"/>
    </xf>
    <xf numFmtId="167" fontId="19" fillId="7" borderId="0" xfId="0" applyNumberFormat="1" applyFont="1" applyFill="1" applyAlignment="1">
      <alignment horizontal="center" vertical="center"/>
    </xf>
    <xf numFmtId="167" fontId="4" fillId="7" borderId="0" xfId="0" applyNumberFormat="1" applyFont="1" applyFill="1" applyAlignment="1">
      <alignment horizontal="center" vertical="center"/>
    </xf>
    <xf numFmtId="166" fontId="19" fillId="7" borderId="0" xfId="2" applyNumberFormat="1" applyFont="1" applyFill="1" applyAlignment="1">
      <alignment horizontal="center" vertical="center"/>
    </xf>
  </cellXfs>
  <cellStyles count="3">
    <cellStyle name="Normal" xfId="0" builtinId="0"/>
    <cellStyle name="Normal 4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NG + COAL EMISSIONS </a:t>
            </a:r>
          </a:p>
          <a:p>
            <a:pPr>
              <a:defRPr/>
            </a:pPr>
            <a:r>
              <a:rPr lang="en-US" b="1" baseline="0"/>
              <a:t>(MMT CO2)  </a:t>
            </a:r>
            <a:endParaRPr lang="en-US" b="1"/>
          </a:p>
        </c:rich>
      </c:tx>
      <c:layout>
        <c:manualLayout>
          <c:xMode val="edge"/>
          <c:yMode val="edge"/>
          <c:x val="0.34050436800395728"/>
          <c:y val="1.7830108234029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NG CCS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val>
            <c:numRef>
              <c:f>'APP B  (Aug. 29 2019)'!$D$50:$AM$50</c:f>
              <c:numCache>
                <c:formatCode>0.00</c:formatCode>
                <c:ptCount val="36"/>
                <c:pt idx="0">
                  <c:v>2953.610107</c:v>
                </c:pt>
                <c:pt idx="1">
                  <c:v>2820.238891</c:v>
                </c:pt>
                <c:pt idx="2">
                  <c:v>2844.129394</c:v>
                </c:pt>
                <c:pt idx="3">
                  <c:v>2852.7409669999997</c:v>
                </c:pt>
                <c:pt idx="4">
                  <c:v>2912.1691890000002</c:v>
                </c:pt>
                <c:pt idx="5">
                  <c:v>2931.9606049240001</c:v>
                </c:pt>
                <c:pt idx="6">
                  <c:v>2911.8753132359998</c:v>
                </c:pt>
                <c:pt idx="7">
                  <c:v>2924.8968709560004</c:v>
                </c:pt>
                <c:pt idx="8">
                  <c:v>2934.1429759279999</c:v>
                </c:pt>
                <c:pt idx="9">
                  <c:v>2952.5848069860003</c:v>
                </c:pt>
                <c:pt idx="10">
                  <c:v>2904.9808156907998</c:v>
                </c:pt>
                <c:pt idx="11">
                  <c:v>2815.9693756907996</c:v>
                </c:pt>
                <c:pt idx="12">
                  <c:v>2726.9579356907998</c:v>
                </c:pt>
                <c:pt idx="13">
                  <c:v>2637.9464956907996</c:v>
                </c:pt>
                <c:pt idx="14">
                  <c:v>2548.9350556907993</c:v>
                </c:pt>
                <c:pt idx="15">
                  <c:v>2459.9236156907996</c:v>
                </c:pt>
                <c:pt idx="16">
                  <c:v>2370.9121756907994</c:v>
                </c:pt>
                <c:pt idx="17">
                  <c:v>2281.9007356907996</c:v>
                </c:pt>
                <c:pt idx="18">
                  <c:v>2192.8892956907994</c:v>
                </c:pt>
                <c:pt idx="19">
                  <c:v>2103.8778556907992</c:v>
                </c:pt>
                <c:pt idx="20">
                  <c:v>2116.2478011389994</c:v>
                </c:pt>
                <c:pt idx="21">
                  <c:v>2125.8163611389991</c:v>
                </c:pt>
                <c:pt idx="22">
                  <c:v>2135.3849211389993</c:v>
                </c:pt>
                <c:pt idx="23">
                  <c:v>2144.953481138999</c:v>
                </c:pt>
                <c:pt idx="24">
                  <c:v>2154.5220411389992</c:v>
                </c:pt>
                <c:pt idx="25">
                  <c:v>2164.0906011389989</c:v>
                </c:pt>
                <c:pt idx="26">
                  <c:v>2047.0648490971189</c:v>
                </c:pt>
                <c:pt idx="27">
                  <c:v>1931.0178396419387</c:v>
                </c:pt>
                <c:pt idx="28">
                  <c:v>1814.0750781867587</c:v>
                </c:pt>
                <c:pt idx="29">
                  <c:v>1696.2365647315783</c:v>
                </c:pt>
                <c:pt idx="30">
                  <c:v>1577.5022992763986</c:v>
                </c:pt>
                <c:pt idx="31">
                  <c:v>1452.6607792763987</c:v>
                </c:pt>
                <c:pt idx="32">
                  <c:v>1327.8192592763985</c:v>
                </c:pt>
                <c:pt idx="33">
                  <c:v>1202.9777392763983</c:v>
                </c:pt>
                <c:pt idx="34">
                  <c:v>1078.1362192763984</c:v>
                </c:pt>
                <c:pt idx="35">
                  <c:v>953.29469927639843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9-4A8C-876B-691C65CD7A3E}"/>
            </c:ext>
          </c:extLst>
        </c:ser>
        <c:ser>
          <c:idx val="1"/>
          <c:order val="1"/>
          <c:tx>
            <c:v>COAL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'APP B  (Aug. 29 2019)'!$D$51:$AM$51</c:f>
              <c:numCache>
                <c:formatCode>0.00</c:formatCode>
                <c:ptCount val="36"/>
                <c:pt idx="0">
                  <c:v>2953.610107</c:v>
                </c:pt>
                <c:pt idx="1">
                  <c:v>2820.238891</c:v>
                </c:pt>
                <c:pt idx="2">
                  <c:v>2844.129394</c:v>
                </c:pt>
                <c:pt idx="3">
                  <c:v>2852.7409669999997</c:v>
                </c:pt>
                <c:pt idx="4">
                  <c:v>2912.1691890000002</c:v>
                </c:pt>
                <c:pt idx="5">
                  <c:v>2931.9606049240001</c:v>
                </c:pt>
                <c:pt idx="6">
                  <c:v>2911.8753132359998</c:v>
                </c:pt>
                <c:pt idx="7">
                  <c:v>2924.8968709560004</c:v>
                </c:pt>
                <c:pt idx="8">
                  <c:v>2934.1429759279999</c:v>
                </c:pt>
                <c:pt idx="9">
                  <c:v>2952.5848069860003</c:v>
                </c:pt>
                <c:pt idx="10">
                  <c:v>2904.9808156907998</c:v>
                </c:pt>
                <c:pt idx="11">
                  <c:v>2815.9693756907996</c:v>
                </c:pt>
                <c:pt idx="12">
                  <c:v>2726.9579356907998</c:v>
                </c:pt>
                <c:pt idx="13">
                  <c:v>2637.9464956907996</c:v>
                </c:pt>
                <c:pt idx="14">
                  <c:v>2548.9350556907993</c:v>
                </c:pt>
                <c:pt idx="15">
                  <c:v>2459.9236156907996</c:v>
                </c:pt>
                <c:pt idx="16">
                  <c:v>2370.9121756907994</c:v>
                </c:pt>
                <c:pt idx="17">
                  <c:v>2281.9007356907996</c:v>
                </c:pt>
                <c:pt idx="18">
                  <c:v>2192.8892956907994</c:v>
                </c:pt>
                <c:pt idx="19">
                  <c:v>2103.8778556907992</c:v>
                </c:pt>
                <c:pt idx="20">
                  <c:v>2014.8664156907994</c:v>
                </c:pt>
                <c:pt idx="21">
                  <c:v>1925.8549756907992</c:v>
                </c:pt>
                <c:pt idx="22">
                  <c:v>1836.8435356907992</c:v>
                </c:pt>
                <c:pt idx="23">
                  <c:v>1747.8320956907992</c:v>
                </c:pt>
                <c:pt idx="24">
                  <c:v>1658.8206556907992</c:v>
                </c:pt>
                <c:pt idx="25">
                  <c:v>1569.8092156907992</c:v>
                </c:pt>
                <c:pt idx="26">
                  <c:v>1480.7977756907992</c:v>
                </c:pt>
                <c:pt idx="27">
                  <c:v>1391.786335690799</c:v>
                </c:pt>
                <c:pt idx="28">
                  <c:v>1302.774895690799</c:v>
                </c:pt>
                <c:pt idx="29">
                  <c:v>1213.7634556907988</c:v>
                </c:pt>
                <c:pt idx="30">
                  <c:v>1124.752015690799</c:v>
                </c:pt>
                <c:pt idx="31">
                  <c:v>1035.740575690799</c:v>
                </c:pt>
                <c:pt idx="32">
                  <c:v>946.72913569079901</c:v>
                </c:pt>
                <c:pt idx="33">
                  <c:v>857.71769569079879</c:v>
                </c:pt>
                <c:pt idx="34">
                  <c:v>768.7062556907988</c:v>
                </c:pt>
                <c:pt idx="35">
                  <c:v>679.69481569079881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E9-4A8C-876B-691C65CD7A3E}"/>
            </c:ext>
          </c:extLst>
        </c:ser>
        <c:ser>
          <c:idx val="2"/>
          <c:order val="2"/>
          <c:tx>
            <c:v>NG Replacing Coal</c:v>
          </c:tx>
          <c:spPr>
            <a:solidFill>
              <a:schemeClr val="tx1"/>
            </a:solidFill>
            <a:ln>
              <a:noFill/>
            </a:ln>
            <a:effectLst/>
          </c:spPr>
          <c:val>
            <c:numRef>
              <c:f>'APP B  (Aug. 29 2019)'!$D$52:$AM$52</c:f>
              <c:numCache>
                <c:formatCode>0.00</c:formatCode>
                <c:ptCount val="36"/>
                <c:pt idx="0">
                  <c:v>2953.610107</c:v>
                </c:pt>
                <c:pt idx="1">
                  <c:v>2820.238891</c:v>
                </c:pt>
                <c:pt idx="2">
                  <c:v>2844.129394</c:v>
                </c:pt>
                <c:pt idx="3">
                  <c:v>2852.7409669999997</c:v>
                </c:pt>
                <c:pt idx="4">
                  <c:v>2912.1691890000002</c:v>
                </c:pt>
                <c:pt idx="5">
                  <c:v>2931.9606049240001</c:v>
                </c:pt>
                <c:pt idx="6">
                  <c:v>2911.8753132359998</c:v>
                </c:pt>
                <c:pt idx="7">
                  <c:v>2924.8968709560004</c:v>
                </c:pt>
                <c:pt idx="8">
                  <c:v>2934.1429759279999</c:v>
                </c:pt>
                <c:pt idx="9">
                  <c:v>2952.5848069860003</c:v>
                </c:pt>
                <c:pt idx="10">
                  <c:v>2827.7464364819998</c:v>
                </c:pt>
                <c:pt idx="11">
                  <c:v>2660.7688364819996</c:v>
                </c:pt>
                <c:pt idx="12">
                  <c:v>2493.7912364819995</c:v>
                </c:pt>
                <c:pt idx="13">
                  <c:v>2326.8136364819993</c:v>
                </c:pt>
                <c:pt idx="14">
                  <c:v>2159.8360364819991</c:v>
                </c:pt>
                <c:pt idx="15">
                  <c:v>1992.8584364819994</c:v>
                </c:pt>
                <c:pt idx="16">
                  <c:v>1825.8808364819993</c:v>
                </c:pt>
                <c:pt idx="17">
                  <c:v>1658.9032364819993</c:v>
                </c:pt>
                <c:pt idx="18">
                  <c:v>1491.9256364819994</c:v>
                </c:pt>
                <c:pt idx="19">
                  <c:v>1324.9480364819992</c:v>
                </c:pt>
                <c:pt idx="20">
                  <c:v>1157.9704364819993</c:v>
                </c:pt>
                <c:pt idx="21">
                  <c:v>1084.3428364819993</c:v>
                </c:pt>
                <c:pt idx="22">
                  <c:v>1010.7152364819992</c:v>
                </c:pt>
                <c:pt idx="23">
                  <c:v>937.0876364819992</c:v>
                </c:pt>
                <c:pt idx="24">
                  <c:v>863.46003648199917</c:v>
                </c:pt>
                <c:pt idx="25">
                  <c:v>789.87585448199957</c:v>
                </c:pt>
                <c:pt idx="26">
                  <c:v>745.08825448199957</c:v>
                </c:pt>
                <c:pt idx="27">
                  <c:v>700.30065448199946</c:v>
                </c:pt>
                <c:pt idx="28">
                  <c:v>655.51305448199946</c:v>
                </c:pt>
                <c:pt idx="29">
                  <c:v>610.72545448199935</c:v>
                </c:pt>
                <c:pt idx="30">
                  <c:v>565.93785448199947</c:v>
                </c:pt>
                <c:pt idx="31">
                  <c:v>521.15025448199947</c:v>
                </c:pt>
                <c:pt idx="32">
                  <c:v>476.36265448199953</c:v>
                </c:pt>
                <c:pt idx="33">
                  <c:v>431.57505448199936</c:v>
                </c:pt>
                <c:pt idx="34">
                  <c:v>386.78745448199942</c:v>
                </c:pt>
                <c:pt idx="35">
                  <c:v>341.99985448199936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9-4A8C-876B-691C65CD7A3E}"/>
            </c:ext>
          </c:extLst>
        </c:ser>
        <c:ser>
          <c:idx val="3"/>
          <c:order val="3"/>
          <c:tx>
            <c:v>BAU</c:v>
          </c:tx>
          <c:spPr>
            <a:noFill/>
            <a:ln>
              <a:solidFill>
                <a:srgbClr val="FF0000"/>
              </a:solidFill>
            </a:ln>
            <a:effectLst/>
          </c:spPr>
          <c:val>
            <c:numRef>
              <c:f>'APP B  (Aug. 29 2019)'!$D$53:$AM$53</c:f>
              <c:numCache>
                <c:formatCode>0.00</c:formatCode>
                <c:ptCount val="36"/>
                <c:pt idx="0">
                  <c:v>1471.030029</c:v>
                </c:pt>
                <c:pt idx="1">
                  <c:v>1492.8579099999999</c:v>
                </c:pt>
                <c:pt idx="2">
                  <c:v>1497.8508300000001</c:v>
                </c:pt>
                <c:pt idx="3">
                  <c:v>1511.3950199999999</c:v>
                </c:pt>
                <c:pt idx="4">
                  <c:v>1491.060913</c:v>
                </c:pt>
                <c:pt idx="5">
                  <c:v>1466.1264650000001</c:v>
                </c:pt>
                <c:pt idx="6">
                  <c:v>1456.971313</c:v>
                </c:pt>
                <c:pt idx="7">
                  <c:v>1459.198486</c:v>
                </c:pt>
                <c:pt idx="8">
                  <c:v>1471.014404</c:v>
                </c:pt>
                <c:pt idx="9">
                  <c:v>1482.994751</c:v>
                </c:pt>
                <c:pt idx="10">
                  <c:v>1502.7844239999999</c:v>
                </c:pt>
                <c:pt idx="11">
                  <c:v>1518.3698730000001</c:v>
                </c:pt>
                <c:pt idx="12">
                  <c:v>1520.862793</c:v>
                </c:pt>
                <c:pt idx="13">
                  <c:v>1526.0927730000001</c:v>
                </c:pt>
                <c:pt idx="14">
                  <c:v>1528.9133300000001</c:v>
                </c:pt>
                <c:pt idx="15">
                  <c:v>1530.2733149999999</c:v>
                </c:pt>
                <c:pt idx="16">
                  <c:v>1535.610107</c:v>
                </c:pt>
                <c:pt idx="17">
                  <c:v>1545.9975589999999</c:v>
                </c:pt>
                <c:pt idx="18">
                  <c:v>1556.3118899999999</c:v>
                </c:pt>
                <c:pt idx="19">
                  <c:v>1575.3367920000001</c:v>
                </c:pt>
                <c:pt idx="20">
                  <c:v>1598.4472659999999</c:v>
                </c:pt>
                <c:pt idx="21">
                  <c:v>1615.828491</c:v>
                </c:pt>
                <c:pt idx="22">
                  <c:v>1631.181885</c:v>
                </c:pt>
                <c:pt idx="23">
                  <c:v>1646.9267580000001</c:v>
                </c:pt>
                <c:pt idx="24">
                  <c:v>1667.0610349999999</c:v>
                </c:pt>
                <c:pt idx="25">
                  <c:v>1678.1347659999999</c:v>
                </c:pt>
                <c:pt idx="26">
                  <c:v>1689.733154</c:v>
                </c:pt>
                <c:pt idx="27">
                  <c:v>1698.081543</c:v>
                </c:pt>
                <c:pt idx="28">
                  <c:v>1709.346436</c:v>
                </c:pt>
                <c:pt idx="29">
                  <c:v>1725.5198969999999</c:v>
                </c:pt>
                <c:pt idx="30">
                  <c:v>1741.9301760000001</c:v>
                </c:pt>
                <c:pt idx="31">
                  <c:v>1756.1831050000001</c:v>
                </c:pt>
                <c:pt idx="32">
                  <c:v>1770.748779</c:v>
                </c:pt>
                <c:pt idx="33">
                  <c:v>1782.039673</c:v>
                </c:pt>
                <c:pt idx="34">
                  <c:v>1793.5474850000001</c:v>
                </c:pt>
                <c:pt idx="35">
                  <c:v>1809.471558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E9-4A8C-876B-691C65CD7A3E}"/>
            </c:ext>
          </c:extLst>
        </c:ser>
        <c:ser>
          <c:idx val="4"/>
          <c:order val="4"/>
          <c:tx>
            <c:v>NG</c:v>
          </c:tx>
          <c:spPr>
            <a:solidFill>
              <a:srgbClr val="FF0000"/>
            </a:solidFill>
            <a:ln>
              <a:noFill/>
            </a:ln>
            <a:effectLst/>
          </c:spPr>
          <c:val>
            <c:numRef>
              <c:f>'APP B  (Aug. 29 2019)'!$D$54:$AM$54</c:f>
              <c:numCache>
                <c:formatCode>0.00</c:formatCode>
                <c:ptCount val="36"/>
                <c:pt idx="0">
                  <c:v>1471.030029</c:v>
                </c:pt>
                <c:pt idx="1">
                  <c:v>1492.8579099999999</c:v>
                </c:pt>
                <c:pt idx="2">
                  <c:v>1497.8508300000001</c:v>
                </c:pt>
                <c:pt idx="3">
                  <c:v>1511.3950199999999</c:v>
                </c:pt>
                <c:pt idx="4">
                  <c:v>1491.060913</c:v>
                </c:pt>
                <c:pt idx="5">
                  <c:v>1466.8043549240001</c:v>
                </c:pt>
                <c:pt idx="6">
                  <c:v>1459.1286092360001</c:v>
                </c:pt>
                <c:pt idx="7">
                  <c:v>1460.6461389560002</c:v>
                </c:pt>
                <c:pt idx="8">
                  <c:v>1462.0766919279999</c:v>
                </c:pt>
                <c:pt idx="9">
                  <c:v>1464.3382249860001</c:v>
                </c:pt>
                <c:pt idx="10">
                  <c:v>1461.6898544819999</c:v>
                </c:pt>
                <c:pt idx="11">
                  <c:v>1416.9022544819998</c:v>
                </c:pt>
                <c:pt idx="12">
                  <c:v>1372.1146544819999</c:v>
                </c:pt>
                <c:pt idx="13">
                  <c:v>1327.3270544819998</c:v>
                </c:pt>
                <c:pt idx="14">
                  <c:v>1282.5394544819997</c:v>
                </c:pt>
                <c:pt idx="15">
                  <c:v>1237.7518544819998</c:v>
                </c:pt>
                <c:pt idx="16">
                  <c:v>1192.9642544819997</c:v>
                </c:pt>
                <c:pt idx="17">
                  <c:v>1148.1766544819998</c:v>
                </c:pt>
                <c:pt idx="18">
                  <c:v>1103.3890544819997</c:v>
                </c:pt>
                <c:pt idx="19">
                  <c:v>1058.6014544819996</c:v>
                </c:pt>
                <c:pt idx="20">
                  <c:v>1013.8138544819997</c:v>
                </c:pt>
                <c:pt idx="21">
                  <c:v>969.02625448199956</c:v>
                </c:pt>
                <c:pt idx="22">
                  <c:v>924.23865448199956</c:v>
                </c:pt>
                <c:pt idx="23">
                  <c:v>879.45105448199968</c:v>
                </c:pt>
                <c:pt idx="24">
                  <c:v>834.66345448199957</c:v>
                </c:pt>
                <c:pt idx="25">
                  <c:v>789.87585448199957</c:v>
                </c:pt>
                <c:pt idx="26">
                  <c:v>745.08825448199957</c:v>
                </c:pt>
                <c:pt idx="27">
                  <c:v>700.30065448199946</c:v>
                </c:pt>
                <c:pt idx="28">
                  <c:v>655.51305448199957</c:v>
                </c:pt>
                <c:pt idx="29">
                  <c:v>610.72545448199946</c:v>
                </c:pt>
                <c:pt idx="30">
                  <c:v>565.93785448199947</c:v>
                </c:pt>
                <c:pt idx="31">
                  <c:v>521.15025448199947</c:v>
                </c:pt>
                <c:pt idx="32">
                  <c:v>476.36265448199947</c:v>
                </c:pt>
                <c:pt idx="33">
                  <c:v>431.57505448199942</c:v>
                </c:pt>
                <c:pt idx="34">
                  <c:v>386.78745448199936</c:v>
                </c:pt>
                <c:pt idx="35">
                  <c:v>341.99985448199942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E9-4A8C-876B-691C65CD7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099160"/>
        <c:axId val="511100472"/>
      </c:areaChart>
      <c:catAx>
        <c:axId val="5110991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00472"/>
        <c:crosses val="autoZero"/>
        <c:auto val="1"/>
        <c:lblAlgn val="ctr"/>
        <c:lblOffset val="100"/>
        <c:noMultiLvlLbl val="0"/>
      </c:catAx>
      <c:valAx>
        <c:axId val="51110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99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79848</xdr:colOff>
      <xdr:row>78</xdr:row>
      <xdr:rowOff>129245</xdr:rowOff>
    </xdr:from>
    <xdr:to>
      <xdr:col>14</xdr:col>
      <xdr:colOff>67148</xdr:colOff>
      <xdr:row>105</xdr:row>
      <xdr:rowOff>95377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1CC561-3A2D-42C4-A146-28FD7676F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876E-D19B-4025-8341-B7A085656154}">
  <dimension ref="A1:AV86"/>
  <sheetViews>
    <sheetView tabSelected="1" zoomScaleNormal="100" workbookViewId="0">
      <pane xSplit="3" ySplit="2" topLeftCell="AG9" activePane="bottomRight" state="frozen"/>
      <selection pane="topRight" activeCell="E1" sqref="E1"/>
      <selection pane="bottomLeft" activeCell="A3" sqref="A3"/>
      <selection pane="bottomRight" activeCell="AO19" sqref="AO19"/>
    </sheetView>
  </sheetViews>
  <sheetFormatPr defaultRowHeight="14.4" x14ac:dyDescent="0.3"/>
  <cols>
    <col min="1" max="1" width="28.44140625" style="4" customWidth="1"/>
    <col min="2" max="2" width="49.33203125" customWidth="1"/>
    <col min="3" max="3" width="10.77734375" style="4" customWidth="1"/>
    <col min="4" max="4" width="8.88671875" customWidth="1"/>
    <col min="40" max="40" width="10.21875" bestFit="1" customWidth="1"/>
    <col min="41" max="41" width="10.6640625" style="32" customWidth="1"/>
    <col min="42" max="42" width="12.21875" style="4" customWidth="1"/>
    <col min="44" max="44" width="9.5546875" style="93" bestFit="1" customWidth="1"/>
    <col min="45" max="45" width="8.88671875" style="4"/>
    <col min="46" max="46" width="8.88671875" style="93"/>
    <col min="47" max="47" width="11.44140625" customWidth="1"/>
    <col min="48" max="48" width="12.6640625" style="32" customWidth="1"/>
  </cols>
  <sheetData>
    <row r="1" spans="1:48" ht="3" customHeight="1" x14ac:dyDescent="0.3"/>
    <row r="2" spans="1:48" s="27" customFormat="1" ht="81" customHeight="1" x14ac:dyDescent="0.3">
      <c r="A2" s="26" t="s">
        <v>48</v>
      </c>
      <c r="B2" s="26" t="s">
        <v>41</v>
      </c>
      <c r="C2" s="27" t="s">
        <v>72</v>
      </c>
      <c r="D2" s="27">
        <v>2015</v>
      </c>
      <c r="E2" s="27">
        <v>2016</v>
      </c>
      <c r="F2" s="27">
        <v>2017</v>
      </c>
      <c r="G2" s="27">
        <v>2018</v>
      </c>
      <c r="H2" s="27">
        <v>2019</v>
      </c>
      <c r="I2" s="27">
        <v>2020</v>
      </c>
      <c r="J2" s="27">
        <v>2021</v>
      </c>
      <c r="K2" s="27">
        <v>2022</v>
      </c>
      <c r="L2" s="27">
        <v>2023</v>
      </c>
      <c r="M2" s="43" t="s">
        <v>28</v>
      </c>
      <c r="N2" s="43" t="s">
        <v>70</v>
      </c>
      <c r="O2" s="27">
        <v>2026</v>
      </c>
      <c r="P2" s="27">
        <v>2027</v>
      </c>
      <c r="Q2" s="27">
        <v>2028</v>
      </c>
      <c r="R2" s="27">
        <v>2029</v>
      </c>
      <c r="S2" s="27">
        <v>2030</v>
      </c>
      <c r="T2" s="27">
        <v>2031</v>
      </c>
      <c r="U2" s="27">
        <v>2032</v>
      </c>
      <c r="V2" s="27">
        <v>2033</v>
      </c>
      <c r="W2" s="27">
        <v>2034</v>
      </c>
      <c r="X2" s="27">
        <v>2035</v>
      </c>
      <c r="Y2" s="27">
        <v>2036</v>
      </c>
      <c r="Z2" s="27">
        <v>2037</v>
      </c>
      <c r="AA2" s="27">
        <v>2038</v>
      </c>
      <c r="AB2" s="27">
        <v>2039</v>
      </c>
      <c r="AC2" s="27">
        <v>2040</v>
      </c>
      <c r="AD2" s="27">
        <v>2041</v>
      </c>
      <c r="AE2" s="27">
        <v>2042</v>
      </c>
      <c r="AF2" s="27">
        <v>2043</v>
      </c>
      <c r="AG2" s="27">
        <v>2044</v>
      </c>
      <c r="AH2" s="27">
        <v>2045</v>
      </c>
      <c r="AI2" s="27">
        <v>2046</v>
      </c>
      <c r="AJ2" s="27">
        <v>2047</v>
      </c>
      <c r="AK2" s="27">
        <v>2048</v>
      </c>
      <c r="AL2" s="27">
        <v>2049</v>
      </c>
      <c r="AM2" s="27">
        <v>2050</v>
      </c>
      <c r="AN2" s="5" t="s">
        <v>2</v>
      </c>
      <c r="AO2" s="80" t="s">
        <v>47</v>
      </c>
      <c r="AP2" s="5" t="s">
        <v>40</v>
      </c>
      <c r="AQ2" s="5" t="s">
        <v>9</v>
      </c>
      <c r="AR2" s="81" t="s">
        <v>34</v>
      </c>
      <c r="AS2" s="5" t="s">
        <v>38</v>
      </c>
      <c r="AT2" s="81" t="s">
        <v>39</v>
      </c>
      <c r="AU2" s="5" t="s">
        <v>44</v>
      </c>
      <c r="AV2" s="80" t="s">
        <v>43</v>
      </c>
    </row>
    <row r="3" spans="1:48" ht="28.8" x14ac:dyDescent="0.3">
      <c r="A3" s="186"/>
      <c r="B3" s="188" t="s">
        <v>71</v>
      </c>
      <c r="C3" s="27" t="s">
        <v>30</v>
      </c>
      <c r="D3" s="22">
        <v>2293.976318</v>
      </c>
      <c r="E3" s="22">
        <v>2325.1770019999999</v>
      </c>
      <c r="F3" s="22">
        <v>2327.0349120000001</v>
      </c>
      <c r="G3" s="22">
        <v>2354.076904</v>
      </c>
      <c r="H3" s="22">
        <v>2353.7368160000001</v>
      </c>
      <c r="I3" s="22">
        <v>2344.5151369999999</v>
      </c>
      <c r="J3" s="22">
        <v>2337.806885</v>
      </c>
      <c r="K3" s="22">
        <v>2327.2475589999999</v>
      </c>
      <c r="L3" s="22">
        <v>2310.8647460000002</v>
      </c>
      <c r="M3" s="22">
        <v>2289.3151859999998</v>
      </c>
      <c r="N3" s="100">
        <v>2261.29126</v>
      </c>
      <c r="O3" s="100">
        <v>2235.0578609999998</v>
      </c>
      <c r="P3" s="100">
        <v>2212.5349120000001</v>
      </c>
      <c r="Q3" s="100">
        <v>2193.1594239999999</v>
      </c>
      <c r="R3" s="100">
        <v>2177.7241210000002</v>
      </c>
      <c r="S3" s="100">
        <v>2163.4951169999999</v>
      </c>
      <c r="T3" s="100">
        <v>2149.5798340000001</v>
      </c>
      <c r="U3" s="100">
        <v>2136.9328609999998</v>
      </c>
      <c r="V3" s="100">
        <v>2129.5102539999998</v>
      </c>
      <c r="W3" s="100">
        <v>2127.0366210000002</v>
      </c>
      <c r="X3" s="100">
        <v>2126.741211</v>
      </c>
      <c r="Y3" s="100">
        <v>2127.5998540000001</v>
      </c>
      <c r="Z3" s="100">
        <v>2131.4047850000002</v>
      </c>
      <c r="AA3" s="100">
        <v>2137.899414</v>
      </c>
      <c r="AB3" s="100">
        <v>2145.3645019999999</v>
      </c>
      <c r="AC3" s="100">
        <v>2151.266357</v>
      </c>
      <c r="AD3" s="100">
        <v>2158.536865</v>
      </c>
      <c r="AE3" s="100">
        <v>2168.8520509999998</v>
      </c>
      <c r="AF3" s="100">
        <v>2181.7719729999999</v>
      </c>
      <c r="AG3" s="100">
        <v>2194.9648440000001</v>
      </c>
      <c r="AH3" s="100">
        <v>2207.9309079999998</v>
      </c>
      <c r="AI3" s="100">
        <v>2221.4790039999998</v>
      </c>
      <c r="AJ3" s="100">
        <v>2233.226807</v>
      </c>
      <c r="AK3" s="100">
        <v>2245.991943</v>
      </c>
      <c r="AL3" s="100">
        <v>2260.9084469999998</v>
      </c>
      <c r="AM3" s="100">
        <v>2278.4465329999998</v>
      </c>
      <c r="AN3" s="101">
        <f>(AM3-D3)/D3</f>
        <v>-6.7698105155417623E-3</v>
      </c>
      <c r="AO3" s="193">
        <f>(2627.6-AM3)/2627.6</f>
        <v>0.13287923085705591</v>
      </c>
      <c r="AP3" s="113">
        <f>SUM(D3:AM3)</f>
        <v>80022.459227999978</v>
      </c>
      <c r="AQ3" s="114"/>
      <c r="AR3" s="191">
        <f>SUM(N3:AM3)</f>
        <v>56758.707763000013</v>
      </c>
      <c r="AS3" s="110">
        <f>AP3/2.93</f>
        <v>27311.419531740605</v>
      </c>
      <c r="AT3" s="191">
        <f>AR3/2.93</f>
        <v>19371.572615358364</v>
      </c>
      <c r="AU3" s="116">
        <f>((D3-AM3)/D3)/36</f>
        <v>1.8805029209838228E-4</v>
      </c>
      <c r="AV3" s="193">
        <f>((M3-AM3)/M3)/26</f>
        <v>1.8259832370002687E-4</v>
      </c>
    </row>
    <row r="4" spans="1:48" s="6" customFormat="1" ht="28.8" x14ac:dyDescent="0.3">
      <c r="A4" s="187" t="s">
        <v>63</v>
      </c>
      <c r="B4" s="188" t="s">
        <v>50</v>
      </c>
      <c r="C4" s="27" t="s">
        <v>30</v>
      </c>
      <c r="D4" s="13">
        <v>2293.976318</v>
      </c>
      <c r="E4" s="6">
        <v>2325.173828</v>
      </c>
      <c r="F4" s="6">
        <v>2327.0349120000001</v>
      </c>
      <c r="G4" s="6">
        <v>2353.9807129999999</v>
      </c>
      <c r="H4" s="6">
        <v>2353.7797850000002</v>
      </c>
      <c r="I4" s="6">
        <v>2344.991943</v>
      </c>
      <c r="J4" s="6">
        <v>2338.9460450000001</v>
      </c>
      <c r="K4" s="6">
        <v>2330.6735840000001</v>
      </c>
      <c r="L4" s="6">
        <v>2316.1879880000001</v>
      </c>
      <c r="M4" s="6">
        <v>2296.1623540000001</v>
      </c>
      <c r="N4" s="105">
        <v>2269.022461</v>
      </c>
      <c r="O4" s="105">
        <v>2244.1164549999999</v>
      </c>
      <c r="P4" s="105">
        <v>2223.2163089999999</v>
      </c>
      <c r="Q4" s="105">
        <v>2205.251221</v>
      </c>
      <c r="R4" s="105">
        <v>2190.6220699999999</v>
      </c>
      <c r="S4" s="105">
        <v>2176.4155270000001</v>
      </c>
      <c r="T4" s="105">
        <v>2160.943115</v>
      </c>
      <c r="U4" s="105">
        <v>2147.4653320000002</v>
      </c>
      <c r="V4" s="105">
        <v>2139.3500979999999</v>
      </c>
      <c r="W4" s="105">
        <v>2136.1640619999998</v>
      </c>
      <c r="X4" s="105">
        <v>2135.9316410000001</v>
      </c>
      <c r="Y4" s="105">
        <v>2136.8559570000002</v>
      </c>
      <c r="Z4" s="105">
        <v>2141.1647950000001</v>
      </c>
      <c r="AA4" s="105">
        <v>2148.281982</v>
      </c>
      <c r="AB4" s="105">
        <v>2155.900635</v>
      </c>
      <c r="AC4" s="105">
        <v>2161.7360840000001</v>
      </c>
      <c r="AD4" s="105">
        <v>2168.4223630000001</v>
      </c>
      <c r="AE4" s="105">
        <v>2179.451172</v>
      </c>
      <c r="AF4" s="105">
        <v>2192.1755370000001</v>
      </c>
      <c r="AG4" s="105">
        <v>2205.4272460000002</v>
      </c>
      <c r="AH4" s="105">
        <v>2218.34375</v>
      </c>
      <c r="AI4" s="105">
        <v>2231.6616210000002</v>
      </c>
      <c r="AJ4" s="105">
        <v>2243.546143</v>
      </c>
      <c r="AK4" s="105">
        <v>2255.766357</v>
      </c>
      <c r="AL4" s="105">
        <v>2271.4506839999999</v>
      </c>
      <c r="AM4" s="105">
        <v>2289.4833979999999</v>
      </c>
      <c r="AN4" s="101">
        <f>(AM4-D4)/D4</f>
        <v>-1.9585729655296905E-3</v>
      </c>
      <c r="AO4" s="193">
        <f>(2627.6-AM4)/2627.6</f>
        <v>0.12867887121327451</v>
      </c>
      <c r="AP4" s="113">
        <f>SUM(D4:AM4)</f>
        <v>80309.073485000001</v>
      </c>
      <c r="AQ4" s="118">
        <f>AP4/190043.04</f>
        <v>0.42258360782378557</v>
      </c>
      <c r="AR4" s="191">
        <f>SUM(N4:AM4)</f>
        <v>57028.166014999995</v>
      </c>
      <c r="AS4" s="110">
        <f t="shared" ref="AS4:AS5" si="0">AP4/2.93</f>
        <v>27409.240097269623</v>
      </c>
      <c r="AT4" s="191">
        <f t="shared" ref="AT4:AT5" si="1">AR4/2.93</f>
        <v>19463.537889078496</v>
      </c>
      <c r="AU4" s="116">
        <f t="shared" ref="AU4:AU5" si="2">((D4-AM4)/D4)/36</f>
        <v>5.4404804598046957E-5</v>
      </c>
      <c r="AV4" s="193">
        <f t="shared" ref="AV4:AV5" si="3">((M4-AM4)/M4)/26</f>
        <v>1.1187489535721684E-4</v>
      </c>
    </row>
    <row r="5" spans="1:48" s="6" customFormat="1" ht="28.8" x14ac:dyDescent="0.3">
      <c r="A5" s="187"/>
      <c r="B5" s="189" t="s">
        <v>51</v>
      </c>
      <c r="C5" s="27" t="s">
        <v>30</v>
      </c>
      <c r="D5" s="92">
        <v>2293.976318</v>
      </c>
      <c r="E5" s="92">
        <v>2325.173828</v>
      </c>
      <c r="F5" s="92">
        <v>2327.0349120000001</v>
      </c>
      <c r="G5" s="92">
        <v>2353.9807129999999</v>
      </c>
      <c r="H5" s="92">
        <v>2353.7797850000002</v>
      </c>
      <c r="I5" s="92">
        <v>2344.991943</v>
      </c>
      <c r="J5" s="92">
        <v>2338.9460450000001</v>
      </c>
      <c r="K5" s="92">
        <v>2330.6735840000001</v>
      </c>
      <c r="L5" s="92">
        <v>2316.1879880000001</v>
      </c>
      <c r="M5" s="92">
        <v>2296.1623540000001</v>
      </c>
      <c r="N5" s="92">
        <f>(N38*1000)*0.432</f>
        <v>2207.8671927839996</v>
      </c>
      <c r="O5" s="92">
        <f t="shared" ref="O5:AM5" si="4">(O38*1000)*0.432</f>
        <v>2140.2159927839998</v>
      </c>
      <c r="P5" s="92">
        <f t="shared" si="4"/>
        <v>2072.564792784</v>
      </c>
      <c r="Q5" s="92">
        <f t="shared" si="4"/>
        <v>2004.9135927839998</v>
      </c>
      <c r="R5" s="92">
        <f t="shared" si="4"/>
        <v>1937.2623927839995</v>
      </c>
      <c r="S5" s="92">
        <f t="shared" si="4"/>
        <v>1869.6111927839997</v>
      </c>
      <c r="T5" s="92">
        <f t="shared" si="4"/>
        <v>1801.9599927839997</v>
      </c>
      <c r="U5" s="92">
        <f t="shared" si="4"/>
        <v>1734.3087927839997</v>
      </c>
      <c r="V5" s="92">
        <f t="shared" si="4"/>
        <v>1666.6575927839995</v>
      </c>
      <c r="W5" s="92">
        <f t="shared" si="4"/>
        <v>1599.0063927839997</v>
      </c>
      <c r="X5" s="92">
        <f t="shared" si="4"/>
        <v>1531.3551927839997</v>
      </c>
      <c r="Y5" s="92">
        <f t="shared" si="4"/>
        <v>1463.7039927839994</v>
      </c>
      <c r="Z5" s="92">
        <f t="shared" si="4"/>
        <v>1396.0527927839996</v>
      </c>
      <c r="AA5" s="92">
        <f t="shared" si="4"/>
        <v>1328.4015927839996</v>
      </c>
      <c r="AB5" s="92">
        <f t="shared" si="4"/>
        <v>1260.7503927839994</v>
      </c>
      <c r="AC5" s="92">
        <f t="shared" si="4"/>
        <v>1193.0991927839993</v>
      </c>
      <c r="AD5" s="92">
        <f t="shared" si="4"/>
        <v>1125.4479927839996</v>
      </c>
      <c r="AE5" s="92">
        <f t="shared" si="4"/>
        <v>1057.7967927839993</v>
      </c>
      <c r="AF5" s="92">
        <f t="shared" si="4"/>
        <v>990.1455927839994</v>
      </c>
      <c r="AG5" s="92">
        <f t="shared" si="4"/>
        <v>922.49439278399916</v>
      </c>
      <c r="AH5" s="92">
        <f t="shared" si="4"/>
        <v>854.84319278399926</v>
      </c>
      <c r="AI5" s="92">
        <f t="shared" si="4"/>
        <v>787.19199278399924</v>
      </c>
      <c r="AJ5" s="92">
        <f t="shared" si="4"/>
        <v>719.54079278399922</v>
      </c>
      <c r="AK5" s="92">
        <f t="shared" si="4"/>
        <v>651.88959278399921</v>
      </c>
      <c r="AL5" s="92">
        <f t="shared" si="4"/>
        <v>584.23839278399907</v>
      </c>
      <c r="AM5" s="92">
        <f t="shared" si="4"/>
        <v>516.58719278399917</v>
      </c>
      <c r="AN5" s="101">
        <f>(AM5-D5)/D5</f>
        <v>-0.77480709424481553</v>
      </c>
      <c r="AO5" s="193">
        <f>(2627.6-AM5)/2627.6</f>
        <v>0.80339960694778523</v>
      </c>
      <c r="AP5" s="113">
        <f>SUM(D5:AM5)</f>
        <v>58698.814482384012</v>
      </c>
      <c r="AQ5" s="119"/>
      <c r="AR5" s="191">
        <f t="shared" ref="AR5" si="5">SUM(N5:AM5)</f>
        <v>35417.907012383985</v>
      </c>
      <c r="AS5" s="113">
        <f t="shared" si="0"/>
        <v>20033.725079311949</v>
      </c>
      <c r="AT5" s="191">
        <f t="shared" si="1"/>
        <v>12088.022871120813</v>
      </c>
      <c r="AU5" s="116">
        <f t="shared" si="2"/>
        <v>2.1522419284578209E-2</v>
      </c>
      <c r="AV5" s="193">
        <f t="shared" si="3"/>
        <v>2.9808518717796086E-2</v>
      </c>
    </row>
    <row r="6" spans="1:48" s="6" customFormat="1" x14ac:dyDescent="0.3">
      <c r="A6" s="187"/>
      <c r="B6" s="189"/>
      <c r="C6" s="27"/>
      <c r="D6" s="13"/>
      <c r="E6" s="13"/>
      <c r="F6" s="13"/>
      <c r="G6" s="13"/>
      <c r="H6" s="13"/>
      <c r="I6" s="13"/>
      <c r="J6" s="13"/>
      <c r="K6" s="13"/>
      <c r="L6" s="13"/>
      <c r="M6" s="46" t="s">
        <v>14</v>
      </c>
      <c r="N6" s="106">
        <v>0.43169727475956277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101"/>
      <c r="AO6" s="112"/>
      <c r="AP6" s="113"/>
      <c r="AQ6" s="119"/>
      <c r="AR6" s="115"/>
      <c r="AS6" s="113"/>
      <c r="AT6" s="115"/>
      <c r="AU6" s="116"/>
      <c r="AV6" s="117"/>
    </row>
    <row r="7" spans="1:48" s="6" customFormat="1" ht="28.8" x14ac:dyDescent="0.3">
      <c r="A7" s="187"/>
      <c r="B7" s="188" t="s">
        <v>49</v>
      </c>
      <c r="C7" s="27" t="s">
        <v>12</v>
      </c>
      <c r="D7" s="13">
        <f>D3/2.93</f>
        <v>782.92707098976109</v>
      </c>
      <c r="E7" s="13">
        <f t="shared" ref="E7:AM8" si="6">E3/2.93</f>
        <v>793.57576860068252</v>
      </c>
      <c r="F7" s="13">
        <f t="shared" si="6"/>
        <v>794.20986757679179</v>
      </c>
      <c r="G7" s="13">
        <f t="shared" si="6"/>
        <v>803.43921638225254</v>
      </c>
      <c r="H7" s="13">
        <f t="shared" si="6"/>
        <v>803.32314539249148</v>
      </c>
      <c r="I7" s="13">
        <f t="shared" si="6"/>
        <v>800.17581467576781</v>
      </c>
      <c r="J7" s="13">
        <f t="shared" si="6"/>
        <v>797.88630887372005</v>
      </c>
      <c r="K7" s="13">
        <f t="shared" si="6"/>
        <v>794.2824433447098</v>
      </c>
      <c r="L7" s="13">
        <f t="shared" si="6"/>
        <v>788.69103959044367</v>
      </c>
      <c r="M7" s="13">
        <f t="shared" si="6"/>
        <v>781.3362409556313</v>
      </c>
      <c r="N7" s="92">
        <f t="shared" si="6"/>
        <v>771.77176109215009</v>
      </c>
      <c r="O7" s="92">
        <f t="shared" si="6"/>
        <v>762.81838259385654</v>
      </c>
      <c r="P7" s="92">
        <f t="shared" si="6"/>
        <v>755.1313692832764</v>
      </c>
      <c r="Q7" s="92">
        <f t="shared" si="6"/>
        <v>748.51857474402721</v>
      </c>
      <c r="R7" s="92">
        <f t="shared" si="6"/>
        <v>743.25055324232085</v>
      </c>
      <c r="S7" s="92">
        <f t="shared" si="6"/>
        <v>738.39423788395902</v>
      </c>
      <c r="T7" s="92">
        <f t="shared" si="6"/>
        <v>733.64499453924918</v>
      </c>
      <c r="U7" s="92">
        <f t="shared" si="6"/>
        <v>729.32862150170638</v>
      </c>
      <c r="V7" s="92">
        <f t="shared" si="6"/>
        <v>726.79530853242306</v>
      </c>
      <c r="W7" s="92">
        <f t="shared" si="6"/>
        <v>725.95106518771331</v>
      </c>
      <c r="X7" s="92">
        <f t="shared" si="6"/>
        <v>725.85024266211599</v>
      </c>
      <c r="Y7" s="92">
        <f t="shared" si="6"/>
        <v>726.14329488054602</v>
      </c>
      <c r="Z7" s="92">
        <f t="shared" si="6"/>
        <v>727.44190614334468</v>
      </c>
      <c r="AA7" s="92">
        <f t="shared" si="6"/>
        <v>729.65850307167227</v>
      </c>
      <c r="AB7" s="92">
        <f t="shared" si="6"/>
        <v>732.20631467576789</v>
      </c>
      <c r="AC7" s="92">
        <f t="shared" si="6"/>
        <v>734.22059965870301</v>
      </c>
      <c r="AD7" s="92">
        <f t="shared" si="6"/>
        <v>736.70200170648457</v>
      </c>
      <c r="AE7" s="92">
        <f t="shared" si="6"/>
        <v>740.22254300341285</v>
      </c>
      <c r="AF7" s="92">
        <f t="shared" si="6"/>
        <v>744.6320726962457</v>
      </c>
      <c r="AG7" s="92">
        <f t="shared" si="6"/>
        <v>749.13475904436859</v>
      </c>
      <c r="AH7" s="92">
        <f t="shared" si="6"/>
        <v>753.56003686006818</v>
      </c>
      <c r="AI7" s="92">
        <f t="shared" si="6"/>
        <v>758.18396040955622</v>
      </c>
      <c r="AJ7" s="92">
        <f t="shared" si="6"/>
        <v>762.19344948805463</v>
      </c>
      <c r="AK7" s="92">
        <f t="shared" si="6"/>
        <v>766.55015119453924</v>
      </c>
      <c r="AL7" s="92">
        <f t="shared" si="6"/>
        <v>771.64110819112614</v>
      </c>
      <c r="AM7" s="92">
        <f t="shared" si="6"/>
        <v>777.62680307167227</v>
      </c>
      <c r="AN7" s="101">
        <f t="shared" ref="AN7:AN8" si="7">(AM7-D7)/D7</f>
        <v>-6.7698105155417935E-3</v>
      </c>
      <c r="AO7" s="102" t="s">
        <v>5</v>
      </c>
      <c r="AP7" s="109">
        <f t="shared" ref="AP7:AP8" si="8">SUM(D7:AM7)</f>
        <v>27311.419531740605</v>
      </c>
      <c r="AQ7" s="105"/>
      <c r="AR7" s="107">
        <f t="shared" ref="AR7:AR8" si="9">SUM(N7:AM7)</f>
        <v>19371.572615358364</v>
      </c>
      <c r="AS7" s="103">
        <f>AP7</f>
        <v>27311.419531740605</v>
      </c>
      <c r="AT7" s="107">
        <f>AR7</f>
        <v>19371.572615358364</v>
      </c>
      <c r="AU7" s="73"/>
      <c r="AV7" s="33"/>
    </row>
    <row r="8" spans="1:48" s="6" customFormat="1" ht="28.8" x14ac:dyDescent="0.3">
      <c r="A8" s="187"/>
      <c r="B8" s="188" t="s">
        <v>50</v>
      </c>
      <c r="C8" s="27" t="s">
        <v>12</v>
      </c>
      <c r="D8" s="13">
        <f>D4/2.93</f>
        <v>782.92707098976109</v>
      </c>
      <c r="E8" s="13">
        <f t="shared" si="6"/>
        <v>793.57468532423206</v>
      </c>
      <c r="F8" s="13">
        <f t="shared" si="6"/>
        <v>794.20986757679179</v>
      </c>
      <c r="G8" s="13">
        <f t="shared" si="6"/>
        <v>803.40638668941972</v>
      </c>
      <c r="H8" s="13">
        <f t="shared" si="6"/>
        <v>803.33781058020475</v>
      </c>
      <c r="I8" s="13">
        <f t="shared" si="6"/>
        <v>800.33854709897605</v>
      </c>
      <c r="J8" s="13">
        <f t="shared" si="6"/>
        <v>798.27510068259392</v>
      </c>
      <c r="K8" s="13">
        <f t="shared" si="6"/>
        <v>795.45173515358363</v>
      </c>
      <c r="L8" s="13">
        <f t="shared" si="6"/>
        <v>790.50784573378837</v>
      </c>
      <c r="M8" s="13">
        <f t="shared" si="6"/>
        <v>783.67315836177477</v>
      </c>
      <c r="N8" s="92">
        <f t="shared" si="6"/>
        <v>774.41039624573375</v>
      </c>
      <c r="O8" s="92">
        <f t="shared" si="6"/>
        <v>765.91005290102385</v>
      </c>
      <c r="P8" s="92">
        <f t="shared" si="6"/>
        <v>758.77689726962456</v>
      </c>
      <c r="Q8" s="92">
        <f t="shared" si="6"/>
        <v>752.64546791808868</v>
      </c>
      <c r="R8" s="92">
        <f t="shared" si="6"/>
        <v>747.65258361774738</v>
      </c>
      <c r="S8" s="92">
        <f t="shared" si="6"/>
        <v>742.80393412969283</v>
      </c>
      <c r="T8" s="92">
        <f t="shared" si="6"/>
        <v>737.52324744027305</v>
      </c>
      <c r="U8" s="92">
        <f t="shared" si="6"/>
        <v>732.92332150170648</v>
      </c>
      <c r="V8" s="92">
        <f t="shared" si="6"/>
        <v>730.15361706484634</v>
      </c>
      <c r="W8" s="92">
        <f t="shared" si="6"/>
        <v>729.066232764505</v>
      </c>
      <c r="X8" s="92">
        <f t="shared" si="6"/>
        <v>728.9869081911263</v>
      </c>
      <c r="Y8" s="92">
        <f t="shared" si="6"/>
        <v>729.30237440273038</v>
      </c>
      <c r="Z8" s="92">
        <f t="shared" si="6"/>
        <v>730.77296757679187</v>
      </c>
      <c r="AA8" s="92">
        <f t="shared" si="6"/>
        <v>733.20204163822518</v>
      </c>
      <c r="AB8" s="92">
        <f t="shared" si="6"/>
        <v>735.80226450511941</v>
      </c>
      <c r="AC8" s="92">
        <f t="shared" si="6"/>
        <v>737.79388532423206</v>
      </c>
      <c r="AD8" s="92">
        <f t="shared" si="6"/>
        <v>740.07589180887373</v>
      </c>
      <c r="AE8" s="92">
        <f t="shared" si="6"/>
        <v>743.83999044368602</v>
      </c>
      <c r="AF8" s="92">
        <f t="shared" si="6"/>
        <v>748.18277713310579</v>
      </c>
      <c r="AG8" s="92">
        <f t="shared" si="6"/>
        <v>752.70554470989759</v>
      </c>
      <c r="AH8" s="92">
        <f t="shared" si="6"/>
        <v>757.11390784982927</v>
      </c>
      <c r="AI8" s="92">
        <f t="shared" si="6"/>
        <v>761.65925631399318</v>
      </c>
      <c r="AJ8" s="92">
        <f t="shared" si="6"/>
        <v>765.71540716723541</v>
      </c>
      <c r="AK8" s="92">
        <f t="shared" si="6"/>
        <v>769.88612866894198</v>
      </c>
      <c r="AL8" s="92">
        <f t="shared" si="6"/>
        <v>775.23914129692821</v>
      </c>
      <c r="AM8" s="92">
        <f t="shared" si="6"/>
        <v>781.39365119453919</v>
      </c>
      <c r="AN8" s="101">
        <f t="shared" si="7"/>
        <v>-1.9585729655297057E-3</v>
      </c>
      <c r="AO8" s="102" t="s">
        <v>5</v>
      </c>
      <c r="AP8" s="109">
        <f t="shared" si="8"/>
        <v>27409.240097269616</v>
      </c>
      <c r="AQ8" s="105"/>
      <c r="AR8" s="107">
        <f t="shared" si="9"/>
        <v>19463.537889078496</v>
      </c>
      <c r="AS8" s="103">
        <f>AP8</f>
        <v>27409.240097269616</v>
      </c>
      <c r="AT8" s="107">
        <f>AR8</f>
        <v>19463.537889078496</v>
      </c>
      <c r="AU8" s="73"/>
      <c r="AV8" s="33"/>
    </row>
    <row r="9" spans="1:48" s="6" customFormat="1" x14ac:dyDescent="0.3">
      <c r="A9" s="26"/>
      <c r="B9" s="15"/>
      <c r="C9" s="27"/>
      <c r="D9" s="13"/>
      <c r="E9" s="13"/>
      <c r="F9" s="13"/>
      <c r="G9" s="13"/>
      <c r="H9" s="13"/>
      <c r="I9" s="13"/>
      <c r="J9" s="13"/>
      <c r="K9" s="13"/>
      <c r="L9" s="13"/>
      <c r="M9" s="46"/>
      <c r="N9" s="3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6"/>
      <c r="AO9" s="33"/>
      <c r="AP9" s="61"/>
      <c r="AR9" s="76"/>
      <c r="AS9" s="27"/>
      <c r="AT9" s="76"/>
      <c r="AU9" s="73"/>
      <c r="AV9" s="33"/>
    </row>
    <row r="10" spans="1:48" s="6" customFormat="1" ht="28.8" x14ac:dyDescent="0.3">
      <c r="A10" s="140"/>
      <c r="B10" s="66" t="s">
        <v>53</v>
      </c>
      <c r="C10" s="27" t="s">
        <v>12</v>
      </c>
      <c r="D10" s="22">
        <f t="shared" ref="D10:AM10" si="10">D11/2.1</f>
        <v>700.49049000000002</v>
      </c>
      <c r="E10" s="22">
        <f t="shared" si="10"/>
        <v>710.92372333333333</v>
      </c>
      <c r="F10" s="22">
        <f t="shared" si="10"/>
        <v>713.23544476190466</v>
      </c>
      <c r="G10" s="22">
        <f t="shared" si="10"/>
        <v>718.62072190476181</v>
      </c>
      <c r="H10" s="22">
        <f t="shared" si="10"/>
        <v>711.24459380952374</v>
      </c>
      <c r="I10" s="22">
        <f t="shared" si="10"/>
        <v>697.22400476190467</v>
      </c>
      <c r="J10" s="22">
        <f t="shared" si="10"/>
        <v>693.7462214285714</v>
      </c>
      <c r="K10" s="22">
        <f t="shared" si="10"/>
        <v>693.01432285714282</v>
      </c>
      <c r="L10" s="22">
        <f t="shared" si="10"/>
        <v>696.79030666666665</v>
      </c>
      <c r="M10" s="22">
        <f t="shared" si="10"/>
        <v>707.77756476190473</v>
      </c>
      <c r="N10" s="22">
        <f t="shared" si="10"/>
        <v>719.79393380952376</v>
      </c>
      <c r="O10" s="22">
        <f t="shared" si="10"/>
        <v>730.49723285714276</v>
      </c>
      <c r="P10" s="22">
        <f t="shared" si="10"/>
        <v>734.13062666666667</v>
      </c>
      <c r="Q10" s="22">
        <f t="shared" si="10"/>
        <v>740.26041666666663</v>
      </c>
      <c r="R10" s="22">
        <f t="shared" si="10"/>
        <v>746.72305142857147</v>
      </c>
      <c r="S10" s="22">
        <f t="shared" si="10"/>
        <v>751.07596238095232</v>
      </c>
      <c r="T10" s="22">
        <f t="shared" si="10"/>
        <v>750.30575714285715</v>
      </c>
      <c r="U10" s="22">
        <f t="shared" si="10"/>
        <v>755.99766333333321</v>
      </c>
      <c r="V10" s="22">
        <f t="shared" si="10"/>
        <v>759.8756047619047</v>
      </c>
      <c r="W10" s="22">
        <f t="shared" si="10"/>
        <v>770.47183095238097</v>
      </c>
      <c r="X10" s="22">
        <f t="shared" si="10"/>
        <v>782.68298904761912</v>
      </c>
      <c r="Y10" s="22">
        <f t="shared" si="10"/>
        <v>787.13402142857137</v>
      </c>
      <c r="Z10" s="22">
        <f t="shared" si="10"/>
        <v>795.84466857142854</v>
      </c>
      <c r="AA10" s="22">
        <f t="shared" si="10"/>
        <v>803.59322666666662</v>
      </c>
      <c r="AB10" s="22">
        <f t="shared" si="10"/>
        <v>810.44224333333329</v>
      </c>
      <c r="AC10" s="22">
        <f t="shared" si="10"/>
        <v>814.6053061904762</v>
      </c>
      <c r="AD10" s="22">
        <f t="shared" si="10"/>
        <v>821.42490952380956</v>
      </c>
      <c r="AE10" s="22">
        <f t="shared" si="10"/>
        <v>827.40164619047619</v>
      </c>
      <c r="AF10" s="22">
        <f t="shared" si="10"/>
        <v>832.18970904761898</v>
      </c>
      <c r="AG10" s="22">
        <f t="shared" si="10"/>
        <v>839.84340142857138</v>
      </c>
      <c r="AH10" s="22">
        <f t="shared" si="10"/>
        <v>848.09279666666669</v>
      </c>
      <c r="AI10" s="22">
        <f t="shared" si="10"/>
        <v>855.31238380952379</v>
      </c>
      <c r="AJ10" s="22">
        <f t="shared" si="10"/>
        <v>862.89736809523799</v>
      </c>
      <c r="AK10" s="22">
        <f t="shared" si="10"/>
        <v>868.20242761904751</v>
      </c>
      <c r="AL10" s="22">
        <f t="shared" si="10"/>
        <v>872.97014523809526</v>
      </c>
      <c r="AM10" s="22">
        <f t="shared" si="10"/>
        <v>884.63094095238091</v>
      </c>
      <c r="AN10" s="25">
        <f t="shared" ref="AN10:AN13" si="11">(AM10-D10)/D10</f>
        <v>0.26287359154923129</v>
      </c>
      <c r="AO10" s="39"/>
      <c r="AP10" s="62">
        <f t="shared" ref="AP10:AP12" si="12">SUM(D10:AM10)</f>
        <v>27809.467658095233</v>
      </c>
      <c r="AR10" s="107">
        <f t="shared" ref="AR10:AR20" si="13">SUM(N10:AM10)</f>
        <v>20766.400263809519</v>
      </c>
      <c r="AS10" s="107">
        <f>AP10</f>
        <v>27809.467658095233</v>
      </c>
      <c r="AT10" s="107">
        <f>AR10</f>
        <v>20766.400263809519</v>
      </c>
      <c r="AU10" s="73"/>
      <c r="AV10" s="33"/>
    </row>
    <row r="11" spans="1:48" s="6" customFormat="1" ht="28.8" x14ac:dyDescent="0.3">
      <c r="A11" s="140"/>
      <c r="B11" s="66" t="s">
        <v>53</v>
      </c>
      <c r="C11" s="27" t="s">
        <v>30</v>
      </c>
      <c r="D11" s="22">
        <v>1471.030029</v>
      </c>
      <c r="E11" s="22">
        <v>1492.9398189999999</v>
      </c>
      <c r="F11" s="22">
        <v>1497.7944339999999</v>
      </c>
      <c r="G11" s="22">
        <v>1509.1035159999999</v>
      </c>
      <c r="H11" s="22">
        <v>1493.6136469999999</v>
      </c>
      <c r="I11" s="22">
        <v>1464.1704099999999</v>
      </c>
      <c r="J11" s="22">
        <v>1456.8670649999999</v>
      </c>
      <c r="K11" s="22">
        <v>1455.330078</v>
      </c>
      <c r="L11" s="22">
        <v>1463.259644</v>
      </c>
      <c r="M11" s="22">
        <v>1486.3328859999999</v>
      </c>
      <c r="N11" s="22">
        <v>1511.5672609999999</v>
      </c>
      <c r="O11" s="22">
        <v>1534.044189</v>
      </c>
      <c r="P11" s="22">
        <v>1541.6743160000001</v>
      </c>
      <c r="Q11" s="22">
        <v>1554.546875</v>
      </c>
      <c r="R11" s="22">
        <v>1568.118408</v>
      </c>
      <c r="S11" s="22">
        <v>1577.2595209999999</v>
      </c>
      <c r="T11" s="22">
        <v>1575.6420900000001</v>
      </c>
      <c r="U11" s="22">
        <v>1587.5950929999999</v>
      </c>
      <c r="V11" s="22">
        <v>1595.7387699999999</v>
      </c>
      <c r="W11" s="22">
        <v>1617.990845</v>
      </c>
      <c r="X11" s="22">
        <v>1643.6342770000001</v>
      </c>
      <c r="Y11" s="22">
        <v>1652.9814449999999</v>
      </c>
      <c r="Z11" s="22">
        <v>1671.2738039999999</v>
      </c>
      <c r="AA11" s="22">
        <v>1687.5457759999999</v>
      </c>
      <c r="AB11" s="22">
        <v>1701.928711</v>
      </c>
      <c r="AC11" s="22">
        <v>1710.671143</v>
      </c>
      <c r="AD11" s="22">
        <v>1724.9923100000001</v>
      </c>
      <c r="AE11" s="22">
        <v>1737.543457</v>
      </c>
      <c r="AF11" s="22">
        <v>1747.598389</v>
      </c>
      <c r="AG11" s="22">
        <v>1763.671143</v>
      </c>
      <c r="AH11" s="22">
        <v>1780.9948730000001</v>
      </c>
      <c r="AI11" s="22">
        <v>1796.1560059999999</v>
      </c>
      <c r="AJ11" s="22">
        <v>1812.0844729999999</v>
      </c>
      <c r="AK11" s="22">
        <v>1823.2250979999999</v>
      </c>
      <c r="AL11" s="22">
        <v>1833.2373050000001</v>
      </c>
      <c r="AM11" s="22">
        <v>1857.724976</v>
      </c>
      <c r="AN11" s="25">
        <f t="shared" si="11"/>
        <v>0.26287359154923134</v>
      </c>
      <c r="AO11" s="193">
        <f>(1175.2-AM11)/1175.2</f>
        <v>-0.58077346494213744</v>
      </c>
      <c r="AP11" s="62">
        <f t="shared" si="12"/>
        <v>58399.882082000004</v>
      </c>
      <c r="AR11" s="191">
        <f t="shared" si="13"/>
        <v>43609.440554000001</v>
      </c>
      <c r="AS11" s="107">
        <f>AP11/2.1</f>
        <v>27809.46765809524</v>
      </c>
      <c r="AT11" s="191">
        <f>AR11/2.1</f>
        <v>20766.400263809523</v>
      </c>
      <c r="AU11" s="71">
        <f t="shared" ref="AU11" si="14">((D11-AM11)/D11)/36</f>
        <v>-7.302044209700871E-3</v>
      </c>
      <c r="AV11" s="193">
        <f t="shared" ref="AV11" si="15">((M11-AM11)/M11)/26</f>
        <v>-9.6104387438320851E-3</v>
      </c>
    </row>
    <row r="12" spans="1:48" s="6" customFormat="1" ht="28.8" x14ac:dyDescent="0.3">
      <c r="A12" s="140"/>
      <c r="B12" s="66" t="s">
        <v>54</v>
      </c>
      <c r="C12" s="27" t="s">
        <v>12</v>
      </c>
      <c r="D12" s="22">
        <f>D13/2.1</f>
        <v>700.49049000000002</v>
      </c>
      <c r="E12" s="22">
        <f t="shared" ref="E12:AM12" si="16">E13/2.1</f>
        <v>710.884719047619</v>
      </c>
      <c r="F12" s="22">
        <f t="shared" si="16"/>
        <v>713.26229999999998</v>
      </c>
      <c r="G12" s="22">
        <f t="shared" si="16"/>
        <v>719.71191428571422</v>
      </c>
      <c r="H12" s="22">
        <f t="shared" si="16"/>
        <v>710.02900619047614</v>
      </c>
      <c r="I12" s="22">
        <f t="shared" si="16"/>
        <v>698.15545952380955</v>
      </c>
      <c r="J12" s="22">
        <f t="shared" si="16"/>
        <v>693.79586333333327</v>
      </c>
      <c r="K12" s="22">
        <f t="shared" si="16"/>
        <v>694.85642190476187</v>
      </c>
      <c r="L12" s="22">
        <f t="shared" si="16"/>
        <v>700.48304952380954</v>
      </c>
      <c r="M12" s="22">
        <f t="shared" si="16"/>
        <v>706.1879766666666</v>
      </c>
      <c r="N12" s="22">
        <f t="shared" si="16"/>
        <v>715.61163047619038</v>
      </c>
      <c r="O12" s="22">
        <f t="shared" si="16"/>
        <v>723.03327285714283</v>
      </c>
      <c r="P12" s="22">
        <f t="shared" si="16"/>
        <v>724.22037761904755</v>
      </c>
      <c r="Q12" s="22">
        <f t="shared" si="16"/>
        <v>726.7108442857143</v>
      </c>
      <c r="R12" s="22">
        <f t="shared" si="16"/>
        <v>728.05396666666672</v>
      </c>
      <c r="S12" s="22">
        <f t="shared" si="16"/>
        <v>728.70157857142851</v>
      </c>
      <c r="T12" s="22">
        <f t="shared" si="16"/>
        <v>731.24290809523802</v>
      </c>
      <c r="U12" s="22">
        <f t="shared" si="16"/>
        <v>736.1893138095237</v>
      </c>
      <c r="V12" s="22">
        <f t="shared" si="16"/>
        <v>741.10089999999991</v>
      </c>
      <c r="W12" s="22">
        <f t="shared" si="16"/>
        <v>750.1603771428571</v>
      </c>
      <c r="X12" s="22">
        <f t="shared" si="16"/>
        <v>761.1653647619047</v>
      </c>
      <c r="Y12" s="22">
        <f t="shared" si="16"/>
        <v>769.44213857142859</v>
      </c>
      <c r="Z12" s="22">
        <f t="shared" si="16"/>
        <v>776.7532785714285</v>
      </c>
      <c r="AA12" s="22">
        <f t="shared" si="16"/>
        <v>784.25083714285711</v>
      </c>
      <c r="AB12" s="22">
        <f t="shared" si="16"/>
        <v>793.83858809523804</v>
      </c>
      <c r="AC12" s="22">
        <f t="shared" si="16"/>
        <v>799.11179333333325</v>
      </c>
      <c r="AD12" s="22">
        <f t="shared" si="16"/>
        <v>804.63483523809521</v>
      </c>
      <c r="AE12" s="22">
        <f t="shared" si="16"/>
        <v>808.61025857142852</v>
      </c>
      <c r="AF12" s="22">
        <f t="shared" si="16"/>
        <v>813.97449333333327</v>
      </c>
      <c r="AG12" s="22">
        <f t="shared" si="16"/>
        <v>821.67614142857133</v>
      </c>
      <c r="AH12" s="22">
        <f t="shared" si="16"/>
        <v>829.49055999999996</v>
      </c>
      <c r="AI12" s="22">
        <f t="shared" si="16"/>
        <v>836.27766904761904</v>
      </c>
      <c r="AJ12" s="22">
        <f t="shared" si="16"/>
        <v>843.21370428571424</v>
      </c>
      <c r="AK12" s="22">
        <f t="shared" si="16"/>
        <v>848.59032047619041</v>
      </c>
      <c r="AL12" s="22">
        <f t="shared" si="16"/>
        <v>854.07023095238094</v>
      </c>
      <c r="AM12" s="22">
        <f t="shared" si="16"/>
        <v>861.65312285714276</v>
      </c>
      <c r="AN12" s="25">
        <f t="shared" si="11"/>
        <v>0.23007112181800318</v>
      </c>
      <c r="AO12" s="33"/>
      <c r="AP12" s="62">
        <f t="shared" si="12"/>
        <v>27359.635706666664</v>
      </c>
      <c r="AR12" s="107">
        <f t="shared" si="13"/>
        <v>20311.778506190476</v>
      </c>
      <c r="AS12" s="103">
        <f>AP12</f>
        <v>27359.635706666664</v>
      </c>
      <c r="AT12" s="107">
        <f>AR12</f>
        <v>20311.778506190476</v>
      </c>
      <c r="AU12" s="73"/>
      <c r="AV12" s="33"/>
    </row>
    <row r="13" spans="1:48" s="6" customFormat="1" ht="28.8" x14ac:dyDescent="0.3">
      <c r="A13" s="140" t="s">
        <v>52</v>
      </c>
      <c r="B13" s="158" t="s">
        <v>54</v>
      </c>
      <c r="C13" s="27" t="s">
        <v>30</v>
      </c>
      <c r="D13" s="159">
        <v>1471.030029</v>
      </c>
      <c r="E13" s="160">
        <v>1492.8579099999999</v>
      </c>
      <c r="F13" s="160">
        <v>1497.8508300000001</v>
      </c>
      <c r="G13" s="160">
        <v>1511.3950199999999</v>
      </c>
      <c r="H13" s="160">
        <v>1491.060913</v>
      </c>
      <c r="I13" s="160">
        <v>1466.1264650000001</v>
      </c>
      <c r="J13" s="160">
        <v>1456.971313</v>
      </c>
      <c r="K13" s="160">
        <v>1459.198486</v>
      </c>
      <c r="L13" s="160">
        <v>1471.014404</v>
      </c>
      <c r="M13" s="160">
        <v>1482.994751</v>
      </c>
      <c r="N13" s="160">
        <v>1502.7844239999999</v>
      </c>
      <c r="O13" s="160">
        <v>1518.3698730000001</v>
      </c>
      <c r="P13" s="160">
        <v>1520.862793</v>
      </c>
      <c r="Q13" s="160">
        <v>1526.0927730000001</v>
      </c>
      <c r="R13" s="160">
        <v>1528.9133300000001</v>
      </c>
      <c r="S13" s="160">
        <v>1530.2733149999999</v>
      </c>
      <c r="T13" s="160">
        <v>1535.610107</v>
      </c>
      <c r="U13" s="160">
        <v>1545.9975589999999</v>
      </c>
      <c r="V13" s="160">
        <v>1556.3118899999999</v>
      </c>
      <c r="W13" s="160">
        <v>1575.3367920000001</v>
      </c>
      <c r="X13" s="160">
        <v>1598.4472659999999</v>
      </c>
      <c r="Y13" s="160">
        <v>1615.828491</v>
      </c>
      <c r="Z13" s="160">
        <v>1631.181885</v>
      </c>
      <c r="AA13" s="160">
        <v>1646.9267580000001</v>
      </c>
      <c r="AB13" s="160">
        <v>1667.0610349999999</v>
      </c>
      <c r="AC13" s="160">
        <v>1678.1347659999999</v>
      </c>
      <c r="AD13" s="160">
        <v>1689.733154</v>
      </c>
      <c r="AE13" s="160">
        <v>1698.081543</v>
      </c>
      <c r="AF13" s="160">
        <v>1709.346436</v>
      </c>
      <c r="AG13" s="160">
        <v>1725.5198969999999</v>
      </c>
      <c r="AH13" s="160">
        <v>1741.9301760000001</v>
      </c>
      <c r="AI13" s="160">
        <v>1756.1831050000001</v>
      </c>
      <c r="AJ13" s="160">
        <v>1770.748779</v>
      </c>
      <c r="AK13" s="160">
        <v>1782.039673</v>
      </c>
      <c r="AL13" s="160">
        <v>1793.5474850000001</v>
      </c>
      <c r="AM13" s="160">
        <v>1809.471558</v>
      </c>
      <c r="AN13" s="25">
        <f t="shared" si="11"/>
        <v>0.23007112181800332</v>
      </c>
      <c r="AO13" s="193">
        <f>(1175.2-AM13)/1175.2</f>
        <v>-0.53971371511232125</v>
      </c>
      <c r="AP13" s="62">
        <f>SUM(D13:AM13)</f>
        <v>57455.234983999995</v>
      </c>
      <c r="AQ13" s="14">
        <f>AP13/190043.04</f>
        <v>0.30232748846787544</v>
      </c>
      <c r="AR13" s="191">
        <f t="shared" si="13"/>
        <v>42654.734863000005</v>
      </c>
      <c r="AS13" s="64">
        <f>AP13/2.1</f>
        <v>27359.635706666664</v>
      </c>
      <c r="AT13" s="191">
        <f>AR13/2.1</f>
        <v>20311.778506190476</v>
      </c>
      <c r="AU13" s="71">
        <f t="shared" ref="AU13:AU14" si="17">((D13-AM13)/D13)/36</f>
        <v>-6.3908644949445363E-3</v>
      </c>
      <c r="AV13" s="193">
        <f t="shared" ref="AV13:AV14" si="18">((M13-AM13)/M13)/26</f>
        <v>-8.4671913105313287E-3</v>
      </c>
    </row>
    <row r="14" spans="1:48" s="6" customFormat="1" ht="28.8" x14ac:dyDescent="0.3">
      <c r="A14" s="140"/>
      <c r="B14" s="141" t="s">
        <v>55</v>
      </c>
      <c r="C14" s="27" t="s">
        <v>30</v>
      </c>
      <c r="D14" s="13">
        <v>1471.030029</v>
      </c>
      <c r="E14" s="13">
        <v>1492.8579099999999</v>
      </c>
      <c r="F14" s="13">
        <v>1497.8508300000001</v>
      </c>
      <c r="G14" s="13">
        <v>1511.3950199999999</v>
      </c>
      <c r="H14" s="13">
        <v>1491.060913</v>
      </c>
      <c r="I14" s="13">
        <v>1466.8043549240001</v>
      </c>
      <c r="J14" s="13">
        <v>1459.1286092360001</v>
      </c>
      <c r="K14" s="13">
        <v>1460.6461389560002</v>
      </c>
      <c r="L14" s="13">
        <v>1462.0766919279999</v>
      </c>
      <c r="M14" s="13">
        <v>1464.3382249860001</v>
      </c>
      <c r="N14" s="19">
        <f>(N38*1000)*0.286</f>
        <v>1461.6898544819999</v>
      </c>
      <c r="O14" s="19">
        <f t="shared" ref="O14:AM14" si="19">(O38*1000)*0.286</f>
        <v>1416.9022544819998</v>
      </c>
      <c r="P14" s="19">
        <f t="shared" si="19"/>
        <v>1372.1146544819999</v>
      </c>
      <c r="Q14" s="19">
        <f t="shared" si="19"/>
        <v>1327.3270544819998</v>
      </c>
      <c r="R14" s="19">
        <f t="shared" si="19"/>
        <v>1282.5394544819997</v>
      </c>
      <c r="S14" s="19">
        <f t="shared" si="19"/>
        <v>1237.7518544819998</v>
      </c>
      <c r="T14" s="19">
        <f t="shared" si="19"/>
        <v>1192.9642544819997</v>
      </c>
      <c r="U14" s="19">
        <f t="shared" si="19"/>
        <v>1148.1766544819998</v>
      </c>
      <c r="V14" s="19">
        <f t="shared" si="19"/>
        <v>1103.3890544819997</v>
      </c>
      <c r="W14" s="19">
        <f t="shared" si="19"/>
        <v>1058.6014544819996</v>
      </c>
      <c r="X14" s="19">
        <f t="shared" si="19"/>
        <v>1013.8138544819997</v>
      </c>
      <c r="Y14" s="19">
        <f t="shared" si="19"/>
        <v>969.02625448199956</v>
      </c>
      <c r="Z14" s="19">
        <f t="shared" si="19"/>
        <v>924.23865448199956</v>
      </c>
      <c r="AA14" s="19">
        <f t="shared" si="19"/>
        <v>879.45105448199968</v>
      </c>
      <c r="AB14" s="19">
        <f t="shared" si="19"/>
        <v>834.66345448199957</v>
      </c>
      <c r="AC14" s="19">
        <f t="shared" si="19"/>
        <v>789.87585448199957</v>
      </c>
      <c r="AD14" s="19">
        <f t="shared" si="19"/>
        <v>745.08825448199957</v>
      </c>
      <c r="AE14" s="19">
        <f t="shared" si="19"/>
        <v>700.30065448199946</v>
      </c>
      <c r="AF14" s="19">
        <f t="shared" si="19"/>
        <v>655.51305448199957</v>
      </c>
      <c r="AG14" s="19">
        <f t="shared" si="19"/>
        <v>610.72545448199946</v>
      </c>
      <c r="AH14" s="19">
        <f t="shared" si="19"/>
        <v>565.93785448199947</v>
      </c>
      <c r="AI14" s="19">
        <f t="shared" si="19"/>
        <v>521.15025448199947</v>
      </c>
      <c r="AJ14" s="19">
        <f t="shared" si="19"/>
        <v>476.36265448199947</v>
      </c>
      <c r="AK14" s="19">
        <f t="shared" si="19"/>
        <v>431.57505448199942</v>
      </c>
      <c r="AL14" s="19">
        <f t="shared" si="19"/>
        <v>386.78745448199936</v>
      </c>
      <c r="AM14" s="19">
        <f t="shared" si="19"/>
        <v>341.99985448199942</v>
      </c>
      <c r="AN14" s="25">
        <f>(AM14-D14)/D14</f>
        <v>-0.76750994354990199</v>
      </c>
      <c r="AO14" s="121">
        <f>(1175.2-AM14)/1175.2</f>
        <v>0.70898582838495627</v>
      </c>
      <c r="AP14" s="122">
        <f>SUM(D14:AM14)</f>
        <v>38225.154938561987</v>
      </c>
      <c r="AQ14" s="123"/>
      <c r="AR14" s="120">
        <f t="shared" si="13"/>
        <v>23447.966216531993</v>
      </c>
      <c r="AS14" s="124">
        <f>AP14/2.1</f>
        <v>18202.454732648566</v>
      </c>
      <c r="AT14" s="120">
        <f>AR14/2.1</f>
        <v>11165.698198348568</v>
      </c>
      <c r="AU14" s="116">
        <f t="shared" si="17"/>
        <v>2.1319720654163946E-2</v>
      </c>
      <c r="AV14" s="117">
        <f t="shared" si="18"/>
        <v>2.9478749968718961E-2</v>
      </c>
    </row>
    <row r="15" spans="1:48" s="88" customFormat="1" ht="28.8" x14ac:dyDescent="0.3">
      <c r="A15" s="142"/>
      <c r="B15" s="143" t="s">
        <v>86</v>
      </c>
      <c r="C15" s="82" t="s">
        <v>30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83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f>X14 *0.1</f>
        <v>101.38138544819998</v>
      </c>
      <c r="Y15" s="84">
        <f>X15+98.58</f>
        <v>199.96138544819996</v>
      </c>
      <c r="Z15" s="84">
        <f t="shared" ref="Z15:AC15" si="20">Y15+98.58</f>
        <v>298.54138544819995</v>
      </c>
      <c r="AA15" s="84">
        <f t="shared" si="20"/>
        <v>397.12138544819993</v>
      </c>
      <c r="AB15" s="84">
        <f t="shared" si="20"/>
        <v>495.70138544819991</v>
      </c>
      <c r="AC15" s="84">
        <f t="shared" si="20"/>
        <v>594.2813854481999</v>
      </c>
      <c r="AD15" s="84">
        <f>AD14*0.76</f>
        <v>566.2670734063197</v>
      </c>
      <c r="AE15" s="84">
        <f>AE14*0.77</f>
        <v>539.23150395113964</v>
      </c>
      <c r="AF15" s="84">
        <f>AF14*0.78</f>
        <v>511.30018249595969</v>
      </c>
      <c r="AG15" s="85">
        <f>AG14*0.79</f>
        <v>482.4731090407796</v>
      </c>
      <c r="AH15" s="84">
        <f>AH14*0.8</f>
        <v>452.75028358559962</v>
      </c>
      <c r="AI15" s="84">
        <f t="shared" ref="AI15:AM15" si="21">AI14*0.8</f>
        <v>416.92020358559961</v>
      </c>
      <c r="AJ15" s="84">
        <f t="shared" si="21"/>
        <v>381.0901235855996</v>
      </c>
      <c r="AK15" s="84">
        <f t="shared" si="21"/>
        <v>345.26004358559953</v>
      </c>
      <c r="AL15" s="84">
        <f t="shared" si="21"/>
        <v>309.42996358559952</v>
      </c>
      <c r="AM15" s="84">
        <f t="shared" si="21"/>
        <v>273.59988358559957</v>
      </c>
      <c r="AN15" s="86"/>
      <c r="AO15" s="87"/>
      <c r="AP15" s="82"/>
      <c r="AR15" s="191">
        <f t="shared" si="13"/>
        <v>6365.3106830969964</v>
      </c>
      <c r="AS15" s="99"/>
      <c r="AT15" s="191">
        <f>AR15/2.1</f>
        <v>3031.1003252842838</v>
      </c>
      <c r="AU15" s="89"/>
      <c r="AV15" s="87"/>
    </row>
    <row r="16" spans="1:48" s="6" customFormat="1" x14ac:dyDescent="0.3">
      <c r="A16" s="140"/>
      <c r="B16" s="144" t="s">
        <v>87</v>
      </c>
      <c r="C16" s="27"/>
      <c r="D16" s="13"/>
      <c r="E16" s="13"/>
      <c r="F16" s="13"/>
      <c r="G16" s="13"/>
      <c r="H16" s="13"/>
      <c r="I16" s="13"/>
      <c r="J16" s="13"/>
      <c r="K16" s="13"/>
      <c r="M16" s="36" t="s">
        <v>14</v>
      </c>
      <c r="N16" s="16">
        <v>0.28591516899572872</v>
      </c>
      <c r="O16" s="13"/>
      <c r="P16" s="13"/>
      <c r="Q16" s="18"/>
      <c r="R16" s="29"/>
      <c r="S16" s="18"/>
      <c r="T16" s="30"/>
      <c r="U16" s="18"/>
      <c r="V16" s="13"/>
      <c r="W16" s="36" t="s">
        <v>15</v>
      </c>
      <c r="X16" s="13">
        <f>X14*0.1</f>
        <v>101.38138544819998</v>
      </c>
      <c r="Y16" s="30"/>
      <c r="Z16" s="13"/>
      <c r="AA16" s="49"/>
      <c r="AB16" s="50" t="s">
        <v>19</v>
      </c>
      <c r="AC16" s="49">
        <f>AC14*0.75</f>
        <v>592.40689086149973</v>
      </c>
      <c r="AD16" s="51"/>
      <c r="AE16" s="52" t="s">
        <v>21</v>
      </c>
      <c r="AF16" s="53">
        <f>(594.47-X16)/5</f>
        <v>98.617722910360015</v>
      </c>
      <c r="AG16" s="28"/>
      <c r="AH16" s="17"/>
      <c r="AI16" s="38" t="s">
        <v>22</v>
      </c>
      <c r="AJ16" s="17"/>
      <c r="AK16" s="17"/>
      <c r="AL16" s="37" t="s">
        <v>20</v>
      </c>
      <c r="AM16" s="54">
        <f>AM14*0.8</f>
        <v>273.59988358559957</v>
      </c>
      <c r="AN16" s="16"/>
      <c r="AO16" s="125"/>
      <c r="AP16" s="126"/>
      <c r="AQ16" s="123"/>
      <c r="AR16" s="94"/>
      <c r="AS16" s="126"/>
      <c r="AT16" s="127"/>
      <c r="AU16" s="128"/>
      <c r="AV16" s="125"/>
    </row>
    <row r="17" spans="1:48" s="88" customFormat="1" x14ac:dyDescent="0.3">
      <c r="A17" s="142"/>
      <c r="B17" s="143" t="s">
        <v>88</v>
      </c>
      <c r="C17" s="82" t="s">
        <v>12</v>
      </c>
      <c r="D17" s="30">
        <f>D15/2.1</f>
        <v>0</v>
      </c>
      <c r="E17" s="30">
        <f t="shared" ref="E17:AM17" si="22">E15/2.1</f>
        <v>0</v>
      </c>
      <c r="F17" s="30">
        <f t="shared" si="22"/>
        <v>0</v>
      </c>
      <c r="G17" s="30">
        <f t="shared" si="22"/>
        <v>0</v>
      </c>
      <c r="H17" s="30">
        <f t="shared" si="22"/>
        <v>0</v>
      </c>
      <c r="I17" s="30">
        <f t="shared" si="22"/>
        <v>0</v>
      </c>
      <c r="J17" s="30">
        <f t="shared" si="22"/>
        <v>0</v>
      </c>
      <c r="K17" s="30">
        <f t="shared" si="22"/>
        <v>0</v>
      </c>
      <c r="L17" s="30">
        <f t="shared" si="22"/>
        <v>0</v>
      </c>
      <c r="M17" s="30">
        <f t="shared" si="22"/>
        <v>0</v>
      </c>
      <c r="N17" s="30">
        <f t="shared" si="22"/>
        <v>0</v>
      </c>
      <c r="O17" s="30">
        <f t="shared" si="22"/>
        <v>0</v>
      </c>
      <c r="P17" s="30">
        <f t="shared" si="22"/>
        <v>0</v>
      </c>
      <c r="Q17" s="30">
        <f t="shared" si="22"/>
        <v>0</v>
      </c>
      <c r="R17" s="30">
        <f t="shared" si="22"/>
        <v>0</v>
      </c>
      <c r="S17" s="30">
        <f t="shared" si="22"/>
        <v>0</v>
      </c>
      <c r="T17" s="30">
        <f t="shared" si="22"/>
        <v>0</v>
      </c>
      <c r="U17" s="30">
        <f t="shared" si="22"/>
        <v>0</v>
      </c>
      <c r="V17" s="30">
        <f t="shared" si="22"/>
        <v>0</v>
      </c>
      <c r="W17" s="30">
        <f t="shared" si="22"/>
        <v>0</v>
      </c>
      <c r="X17" s="30">
        <f t="shared" si="22"/>
        <v>48.27685021342856</v>
      </c>
      <c r="Y17" s="30">
        <f t="shared" si="22"/>
        <v>95.219707356285696</v>
      </c>
      <c r="Z17" s="30">
        <f t="shared" si="22"/>
        <v>142.16256449914283</v>
      </c>
      <c r="AA17" s="30">
        <f t="shared" si="22"/>
        <v>189.10542164199995</v>
      </c>
      <c r="AB17" s="30">
        <f t="shared" si="22"/>
        <v>236.0482787848571</v>
      </c>
      <c r="AC17" s="30">
        <f t="shared" si="22"/>
        <v>282.99113592771425</v>
      </c>
      <c r="AD17" s="30">
        <f t="shared" si="22"/>
        <v>269.65098733634272</v>
      </c>
      <c r="AE17" s="30">
        <f t="shared" si="22"/>
        <v>256.7769066433998</v>
      </c>
      <c r="AF17" s="30">
        <f t="shared" si="22"/>
        <v>243.4762773790284</v>
      </c>
      <c r="AG17" s="30">
        <f t="shared" si="22"/>
        <v>229.74909954322837</v>
      </c>
      <c r="AH17" s="30">
        <f t="shared" si="22"/>
        <v>215.59537313599981</v>
      </c>
      <c r="AI17" s="30">
        <f t="shared" si="22"/>
        <v>198.53343027885694</v>
      </c>
      <c r="AJ17" s="30">
        <f t="shared" si="22"/>
        <v>181.47148742171407</v>
      </c>
      <c r="AK17" s="30">
        <f t="shared" si="22"/>
        <v>164.40954456457121</v>
      </c>
      <c r="AL17" s="30">
        <f t="shared" si="22"/>
        <v>147.34760170742834</v>
      </c>
      <c r="AM17" s="30">
        <f t="shared" si="22"/>
        <v>130.2856588502855</v>
      </c>
      <c r="AN17" s="86"/>
      <c r="AO17" s="87"/>
      <c r="AP17" s="82"/>
      <c r="AR17" s="95">
        <f t="shared" si="13"/>
        <v>3031.1003252842838</v>
      </c>
      <c r="AS17" s="82"/>
      <c r="AT17" s="95">
        <f>AR17</f>
        <v>3031.1003252842838</v>
      </c>
      <c r="AU17" s="89"/>
      <c r="AV17" s="87"/>
    </row>
    <row r="18" spans="1:48" s="6" customFormat="1" ht="28.8" x14ac:dyDescent="0.3">
      <c r="A18" s="140"/>
      <c r="B18" s="141" t="s">
        <v>42</v>
      </c>
      <c r="C18" s="27" t="s">
        <v>30</v>
      </c>
      <c r="D18" s="6">
        <v>1471.030029</v>
      </c>
      <c r="E18" s="6">
        <v>1492.8579099999999</v>
      </c>
      <c r="F18" s="6">
        <v>1497.8508300000001</v>
      </c>
      <c r="G18" s="6">
        <v>1511.3950199999999</v>
      </c>
      <c r="H18" s="6">
        <v>1491.060913</v>
      </c>
      <c r="I18" s="13">
        <f t="shared" ref="I18:AM18" si="23">I19+I15</f>
        <v>1466.8043549240001</v>
      </c>
      <c r="J18" s="13">
        <f t="shared" si="23"/>
        <v>1459.1286092360001</v>
      </c>
      <c r="K18" s="13">
        <f t="shared" si="23"/>
        <v>1460.6461389560002</v>
      </c>
      <c r="L18" s="13">
        <f t="shared" si="23"/>
        <v>1462.0766919279999</v>
      </c>
      <c r="M18" s="13">
        <f t="shared" si="23"/>
        <v>1464.3382249860001</v>
      </c>
      <c r="N18" s="19">
        <f t="shared" si="23"/>
        <v>1538.9242336907998</v>
      </c>
      <c r="O18" s="19">
        <f t="shared" si="23"/>
        <v>1572.1027936907997</v>
      </c>
      <c r="P18" s="19">
        <f t="shared" si="23"/>
        <v>1605.2813536908</v>
      </c>
      <c r="Q18" s="19">
        <f t="shared" si="23"/>
        <v>1638.4599136907998</v>
      </c>
      <c r="R18" s="19">
        <f t="shared" si="23"/>
        <v>1671.6384736907996</v>
      </c>
      <c r="S18" s="19">
        <f t="shared" si="23"/>
        <v>1704.8170336907999</v>
      </c>
      <c r="T18" s="19">
        <f t="shared" si="23"/>
        <v>1737.9955936907998</v>
      </c>
      <c r="U18" s="19">
        <f t="shared" si="23"/>
        <v>1771.1741536908</v>
      </c>
      <c r="V18" s="19">
        <f t="shared" si="23"/>
        <v>1804.3527136907996</v>
      </c>
      <c r="W18" s="19">
        <f t="shared" si="23"/>
        <v>1837.5312736907995</v>
      </c>
      <c r="X18" s="19">
        <f t="shared" si="23"/>
        <v>1972.0912191389998</v>
      </c>
      <c r="Y18" s="19">
        <f t="shared" si="23"/>
        <v>2010.4997791389997</v>
      </c>
      <c r="Z18" s="19">
        <f t="shared" si="23"/>
        <v>2048.9083391389995</v>
      </c>
      <c r="AA18" s="19">
        <f t="shared" si="23"/>
        <v>2087.3168991389994</v>
      </c>
      <c r="AB18" s="19">
        <f t="shared" si="23"/>
        <v>2125.7254591389992</v>
      </c>
      <c r="AC18" s="19">
        <f t="shared" si="23"/>
        <v>2164.0906011389989</v>
      </c>
      <c r="AD18" s="19">
        <f t="shared" si="23"/>
        <v>2047.0648490971189</v>
      </c>
      <c r="AE18" s="19">
        <f t="shared" si="23"/>
        <v>1931.0178396419387</v>
      </c>
      <c r="AF18" s="19">
        <f t="shared" si="23"/>
        <v>1814.0750781867587</v>
      </c>
      <c r="AG18" s="19">
        <f t="shared" si="23"/>
        <v>1696.2365647315783</v>
      </c>
      <c r="AH18" s="19">
        <f t="shared" si="23"/>
        <v>1577.5022992763986</v>
      </c>
      <c r="AI18" s="19">
        <f t="shared" si="23"/>
        <v>1452.6607792763987</v>
      </c>
      <c r="AJ18" s="19">
        <f t="shared" si="23"/>
        <v>1327.8192592763985</v>
      </c>
      <c r="AK18" s="19">
        <f t="shared" si="23"/>
        <v>1202.9777392763983</v>
      </c>
      <c r="AL18" s="19">
        <f t="shared" si="23"/>
        <v>1078.1362192763984</v>
      </c>
      <c r="AM18" s="19">
        <f t="shared" si="23"/>
        <v>953.29469927639843</v>
      </c>
      <c r="AN18" s="25">
        <f t="shared" ref="AN18:AN19" si="24">(AM18-D18)/D18</f>
        <v>-0.35195429020273356</v>
      </c>
      <c r="AO18" s="125"/>
      <c r="AP18" s="122">
        <f t="shared" ref="AP18:AP19" si="25">SUM(D18:AM18)</f>
        <v>59148.883883087772</v>
      </c>
      <c r="AQ18" s="123"/>
      <c r="AR18" s="127">
        <f t="shared" si="13"/>
        <v>44371.695161057774</v>
      </c>
      <c r="AS18" s="126"/>
      <c r="AT18" s="191">
        <f>AR18/2.1</f>
        <v>21129.378648122747</v>
      </c>
      <c r="AU18" s="128"/>
      <c r="AV18" s="125"/>
    </row>
    <row r="19" spans="1:48" s="6" customFormat="1" ht="28.8" x14ac:dyDescent="0.3">
      <c r="A19" s="140"/>
      <c r="B19" s="141" t="s">
        <v>35</v>
      </c>
      <c r="C19" s="27" t="s">
        <v>30</v>
      </c>
      <c r="D19" s="6">
        <v>1471.030029</v>
      </c>
      <c r="E19" s="6">
        <v>1492.8579099999999</v>
      </c>
      <c r="F19" s="6">
        <v>1497.8508300000001</v>
      </c>
      <c r="G19" s="6">
        <v>1511.3950199999999</v>
      </c>
      <c r="H19" s="6">
        <v>1491.060913</v>
      </c>
      <c r="I19" s="13">
        <f t="shared" ref="I19:AM19" si="26">I14+I20</f>
        <v>1466.8043549240001</v>
      </c>
      <c r="J19" s="13">
        <f t="shared" si="26"/>
        <v>1459.1286092360001</v>
      </c>
      <c r="K19" s="13">
        <f t="shared" si="26"/>
        <v>1460.6461389560002</v>
      </c>
      <c r="L19" s="13">
        <f t="shared" si="26"/>
        <v>1462.0766919279999</v>
      </c>
      <c r="M19" s="13">
        <f t="shared" si="26"/>
        <v>1464.3382249860001</v>
      </c>
      <c r="N19" s="92">
        <f t="shared" si="26"/>
        <v>1538.9242336907998</v>
      </c>
      <c r="O19" s="92">
        <f t="shared" si="26"/>
        <v>1572.1027936907997</v>
      </c>
      <c r="P19" s="92">
        <f t="shared" si="26"/>
        <v>1605.2813536908</v>
      </c>
      <c r="Q19" s="92">
        <f t="shared" si="26"/>
        <v>1638.4599136907998</v>
      </c>
      <c r="R19" s="92">
        <f t="shared" si="26"/>
        <v>1671.6384736907996</v>
      </c>
      <c r="S19" s="92">
        <f t="shared" si="26"/>
        <v>1704.8170336907999</v>
      </c>
      <c r="T19" s="92">
        <f t="shared" si="26"/>
        <v>1737.9955936907998</v>
      </c>
      <c r="U19" s="92">
        <f t="shared" si="26"/>
        <v>1771.1741536908</v>
      </c>
      <c r="V19" s="92">
        <f t="shared" si="26"/>
        <v>1804.3527136907996</v>
      </c>
      <c r="W19" s="92">
        <f t="shared" si="26"/>
        <v>1837.5312736907995</v>
      </c>
      <c r="X19" s="92">
        <f t="shared" si="26"/>
        <v>1870.7098336907998</v>
      </c>
      <c r="Y19" s="92">
        <f t="shared" si="26"/>
        <v>1810.5383936907997</v>
      </c>
      <c r="Z19" s="92">
        <f t="shared" si="26"/>
        <v>1750.3669536907996</v>
      </c>
      <c r="AA19" s="92">
        <f t="shared" si="26"/>
        <v>1690.1955136907995</v>
      </c>
      <c r="AB19" s="92">
        <f t="shared" si="26"/>
        <v>1630.0240736907995</v>
      </c>
      <c r="AC19" s="92">
        <f t="shared" si="26"/>
        <v>1569.8092156907992</v>
      </c>
      <c r="AD19" s="92">
        <f t="shared" si="26"/>
        <v>1480.7977756907992</v>
      </c>
      <c r="AE19" s="92">
        <f t="shared" si="26"/>
        <v>1391.786335690799</v>
      </c>
      <c r="AF19" s="92">
        <f t="shared" si="26"/>
        <v>1302.774895690799</v>
      </c>
      <c r="AG19" s="92">
        <f t="shared" si="26"/>
        <v>1213.7634556907988</v>
      </c>
      <c r="AH19" s="92">
        <f t="shared" si="26"/>
        <v>1124.752015690799</v>
      </c>
      <c r="AI19" s="92">
        <f t="shared" si="26"/>
        <v>1035.740575690799</v>
      </c>
      <c r="AJ19" s="92">
        <f t="shared" si="26"/>
        <v>946.72913569079901</v>
      </c>
      <c r="AK19" s="92">
        <f t="shared" si="26"/>
        <v>857.71769569079879</v>
      </c>
      <c r="AL19" s="92">
        <f t="shared" si="26"/>
        <v>768.7062556907988</v>
      </c>
      <c r="AM19" s="92">
        <f t="shared" si="26"/>
        <v>679.69481569079881</v>
      </c>
      <c r="AN19" s="101">
        <f t="shared" si="24"/>
        <v>-0.53794633536281211</v>
      </c>
      <c r="AO19" s="193">
        <f>(1175.2-AM19)/1175.2</f>
        <v>0.42163477221681522</v>
      </c>
      <c r="AP19" s="113">
        <f t="shared" si="25"/>
        <v>52783.57319999078</v>
      </c>
      <c r="AQ19" s="119"/>
      <c r="AR19" s="191">
        <f t="shared" si="13"/>
        <v>38006.384477960783</v>
      </c>
      <c r="AS19" s="181"/>
      <c r="AT19" s="110">
        <f>AR19/2.1</f>
        <v>18098.278322838469</v>
      </c>
      <c r="AU19" s="128"/>
      <c r="AV19" s="125"/>
    </row>
    <row r="20" spans="1:48" s="6" customFormat="1" x14ac:dyDescent="0.3">
      <c r="A20" s="140"/>
      <c r="B20" s="161" t="s">
        <v>66</v>
      </c>
      <c r="C20" s="27" t="s">
        <v>30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162">
        <f t="shared" ref="N20:AM20" si="27">N25-N26</f>
        <v>77.234379208799965</v>
      </c>
      <c r="O20" s="162">
        <f t="shared" si="27"/>
        <v>155.20053920879991</v>
      </c>
      <c r="P20" s="162">
        <f t="shared" si="27"/>
        <v>233.16669920880008</v>
      </c>
      <c r="Q20" s="162">
        <f t="shared" si="27"/>
        <v>311.13285920880003</v>
      </c>
      <c r="R20" s="162">
        <f t="shared" si="27"/>
        <v>389.09901920879997</v>
      </c>
      <c r="S20" s="162">
        <f t="shared" si="27"/>
        <v>467.06517920880015</v>
      </c>
      <c r="T20" s="162">
        <f t="shared" si="27"/>
        <v>545.03133920880009</v>
      </c>
      <c r="U20" s="162">
        <f t="shared" si="27"/>
        <v>622.99749920880026</v>
      </c>
      <c r="V20" s="162">
        <f t="shared" si="27"/>
        <v>700.9636592088001</v>
      </c>
      <c r="W20" s="162">
        <f t="shared" si="27"/>
        <v>778.92981920879993</v>
      </c>
      <c r="X20" s="162">
        <f t="shared" si="27"/>
        <v>856.8959792088001</v>
      </c>
      <c r="Y20" s="162">
        <f t="shared" si="27"/>
        <v>841.51213920880002</v>
      </c>
      <c r="Z20" s="162">
        <f t="shared" si="27"/>
        <v>826.12829920879994</v>
      </c>
      <c r="AA20" s="162">
        <f t="shared" si="27"/>
        <v>810.74445920879998</v>
      </c>
      <c r="AB20" s="162">
        <f t="shared" si="27"/>
        <v>795.36061920880002</v>
      </c>
      <c r="AC20" s="162">
        <f t="shared" si="27"/>
        <v>779.93336120879962</v>
      </c>
      <c r="AD20" s="162">
        <f t="shared" si="27"/>
        <v>735.70952120879963</v>
      </c>
      <c r="AE20" s="162">
        <f t="shared" si="27"/>
        <v>691.48568120879952</v>
      </c>
      <c r="AF20" s="162">
        <f t="shared" si="27"/>
        <v>647.26184120879952</v>
      </c>
      <c r="AG20" s="162">
        <f t="shared" si="27"/>
        <v>603.03800120879941</v>
      </c>
      <c r="AH20" s="162">
        <f t="shared" si="27"/>
        <v>558.81416120879953</v>
      </c>
      <c r="AI20" s="162">
        <f t="shared" si="27"/>
        <v>514.59032120879954</v>
      </c>
      <c r="AJ20" s="162">
        <f t="shared" si="27"/>
        <v>470.36648120879948</v>
      </c>
      <c r="AK20" s="162">
        <f t="shared" si="27"/>
        <v>426.14264120879943</v>
      </c>
      <c r="AL20" s="162">
        <f t="shared" si="27"/>
        <v>381.91880120879938</v>
      </c>
      <c r="AM20" s="162">
        <f t="shared" si="27"/>
        <v>337.69496120879944</v>
      </c>
      <c r="AN20" s="16"/>
      <c r="AO20" s="125"/>
      <c r="AP20" s="126"/>
      <c r="AQ20" s="123"/>
      <c r="AR20" s="191">
        <f t="shared" si="13"/>
        <v>14558.418261428795</v>
      </c>
      <c r="AS20" s="59"/>
      <c r="AT20" s="191">
        <f>AR20/2.1</f>
        <v>6932.5801244899021</v>
      </c>
      <c r="AU20" s="128"/>
      <c r="AV20" s="125"/>
    </row>
    <row r="21" spans="1:48" s="6" customFormat="1" x14ac:dyDescent="0.3">
      <c r="A21" s="26"/>
      <c r="B21" s="15"/>
      <c r="C21" s="27"/>
      <c r="D21" s="13"/>
      <c r="E21" s="13"/>
      <c r="F21" s="13"/>
      <c r="G21" s="13"/>
      <c r="H21" s="13"/>
      <c r="I21" s="35"/>
      <c r="J21" s="35"/>
      <c r="K21" s="35"/>
      <c r="L21" s="35"/>
      <c r="M21" s="35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16"/>
      <c r="AO21" s="125"/>
      <c r="AP21" s="126"/>
      <c r="AQ21" s="123"/>
      <c r="AR21" s="127"/>
      <c r="AS21" s="126"/>
      <c r="AT21" s="127"/>
      <c r="AU21" s="128"/>
      <c r="AV21" s="125"/>
    </row>
    <row r="22" spans="1:48" s="27" customFormat="1" ht="28.8" x14ac:dyDescent="0.3">
      <c r="A22" s="135"/>
      <c r="B22" s="70" t="s">
        <v>57</v>
      </c>
      <c r="C22" s="27" t="s">
        <v>30</v>
      </c>
      <c r="D22" s="61">
        <v>1482.580078</v>
      </c>
      <c r="E22" s="61">
        <v>1327.3876949999999</v>
      </c>
      <c r="F22" s="61">
        <v>1346.4801030000001</v>
      </c>
      <c r="G22" s="61">
        <v>1347.4742429999999</v>
      </c>
      <c r="H22" s="61">
        <v>1413.0173339999999</v>
      </c>
      <c r="I22" s="61">
        <v>1451.477905</v>
      </c>
      <c r="J22" s="61">
        <v>1423.947388</v>
      </c>
      <c r="K22" s="61">
        <v>1375.999268</v>
      </c>
      <c r="L22" s="61">
        <v>1354.994995</v>
      </c>
      <c r="M22" s="61">
        <v>1323.0698239999999</v>
      </c>
      <c r="N22" s="61">
        <v>1284.1755370000001</v>
      </c>
      <c r="O22" s="61">
        <v>1240.799683</v>
      </c>
      <c r="P22" s="61">
        <v>1199.5527340000001</v>
      </c>
      <c r="Q22" s="61">
        <v>1163.7910159999999</v>
      </c>
      <c r="R22" s="61">
        <v>1128.6960449999999</v>
      </c>
      <c r="S22" s="61">
        <v>1098.6110839999999</v>
      </c>
      <c r="T22" s="61">
        <v>1095.3120120000001</v>
      </c>
      <c r="U22" s="61">
        <v>1082.3901370000001</v>
      </c>
      <c r="V22" s="61">
        <v>1078.0117190000001</v>
      </c>
      <c r="W22" s="61">
        <v>1062.7320560000001</v>
      </c>
      <c r="X22" s="61">
        <v>1045.2208250000001</v>
      </c>
      <c r="Y22" s="61">
        <v>1044.3320309999999</v>
      </c>
      <c r="Z22" s="61">
        <v>1030.6521</v>
      </c>
      <c r="AA22" s="61">
        <v>1018.052551</v>
      </c>
      <c r="AB22" s="61">
        <v>1010.356995</v>
      </c>
      <c r="AC22" s="61">
        <v>1004.88446</v>
      </c>
      <c r="AD22" s="61">
        <v>996.188354</v>
      </c>
      <c r="AE22" s="61">
        <v>989.56719999999996</v>
      </c>
      <c r="AF22" s="61">
        <v>986.61749299999997</v>
      </c>
      <c r="AG22" s="61">
        <v>977.80902100000003</v>
      </c>
      <c r="AH22" s="61">
        <v>967.87274200000002</v>
      </c>
      <c r="AI22" s="61">
        <v>963.14581299999998</v>
      </c>
      <c r="AJ22" s="61">
        <v>956.24114999999995</v>
      </c>
      <c r="AK22" s="61">
        <v>952.17816200000004</v>
      </c>
      <c r="AL22" s="61">
        <v>950.21893299999999</v>
      </c>
      <c r="AM22" s="61">
        <v>936.46038799999997</v>
      </c>
      <c r="AN22" s="25">
        <f t="shared" ref="AN22:AN26" si="28">(AM22-D22)/D22</f>
        <v>-0.36835763417023332</v>
      </c>
      <c r="AO22" s="193">
        <f t="shared" ref="AO22:AO23" si="29">(2181.9-AM22)/2181.9</f>
        <v>0.57080508364269678</v>
      </c>
      <c r="AP22" s="122">
        <f t="shared" ref="AP22:AP23" si="30">SUM(D22:AM22)</f>
        <v>41110.299073999995</v>
      </c>
      <c r="AQ22" s="126"/>
      <c r="AR22" s="191">
        <f t="shared" ref="AR22:AR26" si="31">SUM(N22:AM22)</f>
        <v>27263.870241000008</v>
      </c>
      <c r="AS22" s="65">
        <f>AP22/3.75</f>
        <v>10962.746419733332</v>
      </c>
      <c r="AT22" s="192">
        <f>AR22/3.75</f>
        <v>7270.3653976000023</v>
      </c>
      <c r="AU22" s="116">
        <f t="shared" ref="AU22:AU26" si="32">((D22-AM22)/D22)/36</f>
        <v>1.0232156504728702E-2</v>
      </c>
      <c r="AV22" s="117">
        <f t="shared" ref="AV22:AV26" si="33">((M22-AM22)/M22)/26</f>
        <v>1.12387066975444E-2</v>
      </c>
    </row>
    <row r="23" spans="1:48" s="6" customFormat="1" ht="28.8" x14ac:dyDescent="0.3">
      <c r="A23" s="135"/>
      <c r="B23" s="20" t="s">
        <v>56</v>
      </c>
      <c r="C23" s="27" t="s">
        <v>27</v>
      </c>
      <c r="D23" s="13">
        <f t="shared" ref="D23:AM23" si="34">D25/3.75</f>
        <v>395.35468746666663</v>
      </c>
      <c r="E23" s="13">
        <f t="shared" si="34"/>
        <v>353.96826160000001</v>
      </c>
      <c r="F23" s="13">
        <f t="shared" si="34"/>
        <v>359.00761706666668</v>
      </c>
      <c r="G23" s="13">
        <f t="shared" si="34"/>
        <v>357.69225253333332</v>
      </c>
      <c r="H23" s="13">
        <f t="shared" si="34"/>
        <v>378.96220693333333</v>
      </c>
      <c r="I23" s="13">
        <f t="shared" si="34"/>
        <v>390.70833333333331</v>
      </c>
      <c r="J23" s="13">
        <f t="shared" si="34"/>
        <v>387.39912106666662</v>
      </c>
      <c r="K23" s="13">
        <f t="shared" si="34"/>
        <v>390.46686186666665</v>
      </c>
      <c r="L23" s="13">
        <f t="shared" si="34"/>
        <v>392.55100906666667</v>
      </c>
      <c r="M23" s="13">
        <f t="shared" si="34"/>
        <v>396.86575520000002</v>
      </c>
      <c r="N23" s="13">
        <f t="shared" si="34"/>
        <v>384.87758965567997</v>
      </c>
      <c r="O23" s="13">
        <f t="shared" si="34"/>
        <v>373.08456565567997</v>
      </c>
      <c r="P23" s="13">
        <f t="shared" si="34"/>
        <v>361.29154165567996</v>
      </c>
      <c r="Q23" s="13">
        <f t="shared" si="34"/>
        <v>349.49851765567996</v>
      </c>
      <c r="R23" s="13">
        <f t="shared" si="34"/>
        <v>337.7054936556799</v>
      </c>
      <c r="S23" s="13">
        <f t="shared" si="34"/>
        <v>325.91246965567996</v>
      </c>
      <c r="T23" s="13">
        <f t="shared" si="34"/>
        <v>314.1194456556799</v>
      </c>
      <c r="U23" s="13">
        <f t="shared" si="34"/>
        <v>302.32642165567995</v>
      </c>
      <c r="V23" s="13">
        <f t="shared" si="34"/>
        <v>290.53339765567995</v>
      </c>
      <c r="W23" s="13">
        <f t="shared" si="34"/>
        <v>278.74037365567989</v>
      </c>
      <c r="X23" s="13">
        <f t="shared" si="34"/>
        <v>266.94734965567994</v>
      </c>
      <c r="Y23" s="13">
        <f t="shared" si="34"/>
        <v>255.15432565567988</v>
      </c>
      <c r="Z23" s="13">
        <f t="shared" si="34"/>
        <v>243.36130165567991</v>
      </c>
      <c r="AA23" s="13">
        <f t="shared" si="34"/>
        <v>231.56827765567991</v>
      </c>
      <c r="AB23" s="13">
        <f t="shared" si="34"/>
        <v>219.7752536556799</v>
      </c>
      <c r="AC23" s="13">
        <f t="shared" si="34"/>
        <v>207.9822296556799</v>
      </c>
      <c r="AD23" s="13">
        <f t="shared" si="34"/>
        <v>196.1892056556799</v>
      </c>
      <c r="AE23" s="13">
        <f t="shared" si="34"/>
        <v>184.39618165567987</v>
      </c>
      <c r="AF23" s="13">
        <f t="shared" si="34"/>
        <v>172.60315765567987</v>
      </c>
      <c r="AG23" s="13">
        <f t="shared" si="34"/>
        <v>160.81013365567983</v>
      </c>
      <c r="AH23" s="13">
        <f t="shared" si="34"/>
        <v>149.01710965567989</v>
      </c>
      <c r="AI23" s="13">
        <f t="shared" si="34"/>
        <v>137.22408565567989</v>
      </c>
      <c r="AJ23" s="13">
        <f t="shared" si="34"/>
        <v>125.43106165567987</v>
      </c>
      <c r="AK23" s="13">
        <f t="shared" si="34"/>
        <v>113.63803765567985</v>
      </c>
      <c r="AL23" s="13">
        <f t="shared" si="34"/>
        <v>101.84501365567984</v>
      </c>
      <c r="AM23" s="13">
        <f t="shared" si="34"/>
        <v>90.051989655679847</v>
      </c>
      <c r="AN23" s="25">
        <f t="shared" si="28"/>
        <v>-0.77222480848093555</v>
      </c>
      <c r="AO23" s="117">
        <f t="shared" si="29"/>
        <v>0.95872771911834653</v>
      </c>
      <c r="AP23" s="122">
        <f t="shared" si="30"/>
        <v>9977.0606371810118</v>
      </c>
      <c r="AQ23" s="123"/>
      <c r="AR23" s="127">
        <f t="shared" si="31"/>
        <v>6174.084531047677</v>
      </c>
      <c r="AS23" s="65">
        <f>AP23/3.75</f>
        <v>2660.54950324827</v>
      </c>
      <c r="AT23" s="139">
        <f>AR23/3.75</f>
        <v>1646.422541612714</v>
      </c>
      <c r="AU23" s="116"/>
      <c r="AV23" s="117"/>
    </row>
    <row r="24" spans="1:48" s="6" customFormat="1" ht="28.8" x14ac:dyDescent="0.3">
      <c r="A24" s="135"/>
      <c r="B24" s="20" t="s">
        <v>58</v>
      </c>
      <c r="C24" s="27" t="s">
        <v>30</v>
      </c>
      <c r="D24" s="6">
        <v>1482.580078</v>
      </c>
      <c r="E24" s="6">
        <v>1327.380981</v>
      </c>
      <c r="F24" s="6">
        <v>1346.278564</v>
      </c>
      <c r="G24" s="6">
        <v>1341.345947</v>
      </c>
      <c r="H24" s="6">
        <v>1421.1082759999999</v>
      </c>
      <c r="I24" s="6">
        <v>1465.15625</v>
      </c>
      <c r="J24" s="6">
        <v>1452.7467039999999</v>
      </c>
      <c r="K24" s="6">
        <v>1464.250732</v>
      </c>
      <c r="L24" s="6">
        <v>1472.066284</v>
      </c>
      <c r="M24" s="6">
        <v>1488.246582</v>
      </c>
      <c r="N24" s="6">
        <v>1484.2457280000001</v>
      </c>
      <c r="O24" s="6">
        <v>1476.356812</v>
      </c>
      <c r="P24" s="6">
        <v>1481.938232</v>
      </c>
      <c r="Q24" s="6">
        <v>1484.790894</v>
      </c>
      <c r="R24" s="6">
        <v>1492.668457</v>
      </c>
      <c r="S24" s="6">
        <v>1492.244751</v>
      </c>
      <c r="T24" s="6">
        <v>1483.4288329999999</v>
      </c>
      <c r="U24" s="6">
        <v>1475.696899</v>
      </c>
      <c r="V24" s="6">
        <v>1469.246216</v>
      </c>
      <c r="W24" s="6">
        <v>1464.6376949999999</v>
      </c>
      <c r="X24" s="6">
        <v>1462.3208010000001</v>
      </c>
      <c r="Y24" s="6">
        <v>1457.0623780000001</v>
      </c>
      <c r="Z24" s="6">
        <v>1459.8967290000001</v>
      </c>
      <c r="AA24" s="6">
        <v>1462.7795410000001</v>
      </c>
      <c r="AB24" s="6">
        <v>1453.356567</v>
      </c>
      <c r="AC24" s="6">
        <v>1445.774048</v>
      </c>
      <c r="AD24" s="6">
        <v>1440.2388920000001</v>
      </c>
      <c r="AE24" s="6">
        <v>1438.412231</v>
      </c>
      <c r="AF24" s="6">
        <v>1442.4520259999999</v>
      </c>
      <c r="AG24" s="6">
        <v>1444.4270019999999</v>
      </c>
      <c r="AH24" s="6">
        <v>1447.5439449999999</v>
      </c>
      <c r="AI24" s="6">
        <v>1449.81897</v>
      </c>
      <c r="AJ24" s="6">
        <v>1451.4921879999999</v>
      </c>
      <c r="AK24" s="6">
        <v>1450.824341</v>
      </c>
      <c r="AL24" s="6">
        <v>1451.0701899999999</v>
      </c>
      <c r="AM24" s="6">
        <v>1454.8452150000001</v>
      </c>
      <c r="AN24" s="25">
        <f t="shared" si="28"/>
        <v>-1.8707160180793894E-2</v>
      </c>
      <c r="AO24" s="193">
        <f>(2181.9-AM24)/2181.9</f>
        <v>0.33322094733947477</v>
      </c>
      <c r="AP24" s="122">
        <f>SUM(D24:AM24)</f>
        <v>52278.729978999996</v>
      </c>
      <c r="AQ24" s="129">
        <f>AP24/190043.04</f>
        <v>0.27508889554176774</v>
      </c>
      <c r="AR24" s="191">
        <f t="shared" si="31"/>
        <v>38017.569580999996</v>
      </c>
      <c r="AS24" s="65">
        <f>AP24/3.75</f>
        <v>13940.994661066665</v>
      </c>
      <c r="AT24" s="191">
        <f>AR24/3.75</f>
        <v>10138.018554933333</v>
      </c>
      <c r="AU24" s="116">
        <f t="shared" si="32"/>
        <v>5.19643338355386E-4</v>
      </c>
      <c r="AV24" s="193">
        <f t="shared" si="33"/>
        <v>8.6320907911109797E-4</v>
      </c>
    </row>
    <row r="25" spans="1:48" s="6" customFormat="1" ht="28.8" x14ac:dyDescent="0.3">
      <c r="A25" s="135" t="s">
        <v>1</v>
      </c>
      <c r="B25" s="20" t="s">
        <v>56</v>
      </c>
      <c r="C25" s="27" t="s">
        <v>30</v>
      </c>
      <c r="D25" s="179">
        <v>1482.580078</v>
      </c>
      <c r="E25" s="179">
        <v>1327.380981</v>
      </c>
      <c r="F25" s="179">
        <v>1346.278564</v>
      </c>
      <c r="G25" s="179">
        <v>1341.345947</v>
      </c>
      <c r="H25" s="179">
        <v>1421.1082759999999</v>
      </c>
      <c r="I25" s="180">
        <f>I24</f>
        <v>1465.15625</v>
      </c>
      <c r="J25" s="180">
        <f>J24</f>
        <v>1452.7467039999999</v>
      </c>
      <c r="K25" s="180">
        <f>K24</f>
        <v>1464.250732</v>
      </c>
      <c r="L25" s="180">
        <f>L24</f>
        <v>1472.066284</v>
      </c>
      <c r="M25" s="180">
        <f>M24</f>
        <v>1488.246582</v>
      </c>
      <c r="N25" s="180">
        <f>(N38*1000)*0.2824</f>
        <v>1443.2909612087999</v>
      </c>
      <c r="O25" s="180">
        <f t="shared" ref="O25:AM25" si="35">(O38*1000)*0.2824</f>
        <v>1399.0671212087998</v>
      </c>
      <c r="P25" s="180">
        <f t="shared" si="35"/>
        <v>1354.8432812087999</v>
      </c>
      <c r="Q25" s="180">
        <f t="shared" si="35"/>
        <v>1310.6194412087998</v>
      </c>
      <c r="R25" s="180">
        <f t="shared" si="35"/>
        <v>1266.3956012087997</v>
      </c>
      <c r="S25" s="180">
        <f t="shared" si="35"/>
        <v>1222.1717612087998</v>
      </c>
      <c r="T25" s="180">
        <f t="shared" si="35"/>
        <v>1177.9479212087997</v>
      </c>
      <c r="U25" s="180">
        <f t="shared" si="35"/>
        <v>1133.7240812087998</v>
      </c>
      <c r="V25" s="180">
        <f t="shared" si="35"/>
        <v>1089.5002412087997</v>
      </c>
      <c r="W25" s="180">
        <f t="shared" si="35"/>
        <v>1045.2764012087996</v>
      </c>
      <c r="X25" s="180">
        <f t="shared" si="35"/>
        <v>1001.0525612087997</v>
      </c>
      <c r="Y25" s="180">
        <f t="shared" si="35"/>
        <v>956.82872120879961</v>
      </c>
      <c r="Z25" s="180">
        <f t="shared" si="35"/>
        <v>912.60488120879961</v>
      </c>
      <c r="AA25" s="180">
        <f t="shared" si="35"/>
        <v>868.38104120879962</v>
      </c>
      <c r="AB25" s="180">
        <f t="shared" si="35"/>
        <v>824.15720120879962</v>
      </c>
      <c r="AC25" s="180">
        <f t="shared" si="35"/>
        <v>779.93336120879962</v>
      </c>
      <c r="AD25" s="180">
        <f t="shared" si="35"/>
        <v>735.70952120879963</v>
      </c>
      <c r="AE25" s="180">
        <f t="shared" si="35"/>
        <v>691.48568120879952</v>
      </c>
      <c r="AF25" s="180">
        <f t="shared" si="35"/>
        <v>647.26184120879952</v>
      </c>
      <c r="AG25" s="180">
        <f t="shared" si="35"/>
        <v>603.03800120879941</v>
      </c>
      <c r="AH25" s="180">
        <f t="shared" si="35"/>
        <v>558.81416120879953</v>
      </c>
      <c r="AI25" s="180">
        <f t="shared" si="35"/>
        <v>514.59032120879954</v>
      </c>
      <c r="AJ25" s="180">
        <f t="shared" si="35"/>
        <v>470.36648120879948</v>
      </c>
      <c r="AK25" s="180">
        <f t="shared" si="35"/>
        <v>426.14264120879943</v>
      </c>
      <c r="AL25" s="180">
        <f t="shared" si="35"/>
        <v>381.91880120879938</v>
      </c>
      <c r="AM25" s="180">
        <f t="shared" si="35"/>
        <v>337.69496120879944</v>
      </c>
      <c r="AN25" s="25">
        <f t="shared" si="28"/>
        <v>-0.77222480848093555</v>
      </c>
      <c r="AO25" s="193">
        <f>(2181.9-AM25)/2181.9</f>
        <v>0.84522894669379922</v>
      </c>
      <c r="AP25" s="122">
        <f>SUM(D25:AM25)</f>
        <v>37413.977389428786</v>
      </c>
      <c r="AQ25" s="123"/>
      <c r="AR25" s="191">
        <f t="shared" si="31"/>
        <v>23152.81699142879</v>
      </c>
      <c r="AS25" s="65">
        <f t="shared" ref="AS25:AS26" si="36">AP25/3.75</f>
        <v>9977.06063718101</v>
      </c>
      <c r="AT25" s="191">
        <f t="shared" ref="AT25:AT26" si="37">AR25/3.75</f>
        <v>6174.084531047677</v>
      </c>
      <c r="AU25" s="178">
        <f t="shared" si="32"/>
        <v>2.1450689124470432E-2</v>
      </c>
      <c r="AV25" s="193">
        <f t="shared" si="33"/>
        <v>2.9734310127275787E-2</v>
      </c>
    </row>
    <row r="26" spans="1:48" s="131" customFormat="1" ht="28.8" x14ac:dyDescent="0.3">
      <c r="A26" s="136"/>
      <c r="B26" s="137" t="s">
        <v>79</v>
      </c>
      <c r="C26" s="133" t="s">
        <v>30</v>
      </c>
      <c r="D26" s="131">
        <v>1482.580078</v>
      </c>
      <c r="E26" s="131">
        <v>1327.380981</v>
      </c>
      <c r="F26" s="131">
        <v>1346.278564</v>
      </c>
      <c r="G26" s="131">
        <v>1341.345947</v>
      </c>
      <c r="H26" s="131">
        <v>1421.1082759999999</v>
      </c>
      <c r="I26" s="134">
        <f>I25</f>
        <v>1465.15625</v>
      </c>
      <c r="J26" s="134">
        <f t="shared" ref="J26:M26" si="38">J25</f>
        <v>1452.7467039999999</v>
      </c>
      <c r="K26" s="134">
        <f t="shared" si="38"/>
        <v>1464.250732</v>
      </c>
      <c r="L26" s="134">
        <f t="shared" si="38"/>
        <v>1472.066284</v>
      </c>
      <c r="M26" s="134">
        <f t="shared" si="38"/>
        <v>1488.246582</v>
      </c>
      <c r="N26" s="134">
        <f>M26-122.19</f>
        <v>1366.0565819999999</v>
      </c>
      <c r="O26" s="134">
        <f t="shared" ref="O26:X26" si="39">N26-122.19</f>
        <v>1243.8665819999999</v>
      </c>
      <c r="P26" s="134">
        <f t="shared" si="39"/>
        <v>1121.6765819999998</v>
      </c>
      <c r="Q26" s="134">
        <f t="shared" si="39"/>
        <v>999.48658199999977</v>
      </c>
      <c r="R26" s="134">
        <f t="shared" si="39"/>
        <v>877.29658199999972</v>
      </c>
      <c r="S26" s="134">
        <f t="shared" si="39"/>
        <v>755.10658199999966</v>
      </c>
      <c r="T26" s="134">
        <f t="shared" si="39"/>
        <v>632.91658199999961</v>
      </c>
      <c r="U26" s="134">
        <f t="shared" si="39"/>
        <v>510.72658199999961</v>
      </c>
      <c r="V26" s="134">
        <f t="shared" si="39"/>
        <v>388.53658199999961</v>
      </c>
      <c r="W26" s="134">
        <f t="shared" si="39"/>
        <v>266.34658199999961</v>
      </c>
      <c r="X26" s="134">
        <f t="shared" si="39"/>
        <v>144.15658199999962</v>
      </c>
      <c r="Y26" s="134">
        <f>X26-28.84</f>
        <v>115.31658199999961</v>
      </c>
      <c r="Z26" s="134">
        <f t="shared" ref="Z26:AB26" si="40">Y26-28.84</f>
        <v>86.47658199999961</v>
      </c>
      <c r="AA26" s="134">
        <f t="shared" si="40"/>
        <v>57.636581999999606</v>
      </c>
      <c r="AB26" s="134">
        <f t="shared" si="40"/>
        <v>28.796581999999606</v>
      </c>
      <c r="AC26" s="134">
        <v>0</v>
      </c>
      <c r="AD26" s="134">
        <v>0</v>
      </c>
      <c r="AE26" s="134">
        <v>0</v>
      </c>
      <c r="AF26" s="134">
        <v>0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  <c r="AL26" s="134">
        <v>0</v>
      </c>
      <c r="AM26" s="134">
        <v>0</v>
      </c>
      <c r="AN26" s="130">
        <f t="shared" si="28"/>
        <v>-1</v>
      </c>
      <c r="AO26" s="193">
        <f>(2181.9-AM26)/2181.9</f>
        <v>1</v>
      </c>
      <c r="AP26" s="109">
        <f>SUM(D26:AM26)</f>
        <v>22855.559127999994</v>
      </c>
      <c r="AR26" s="191">
        <f t="shared" si="31"/>
        <v>8594.3987299999935</v>
      </c>
      <c r="AS26" s="109">
        <f t="shared" si="36"/>
        <v>6094.8157674666645</v>
      </c>
      <c r="AT26" s="191">
        <f t="shared" si="37"/>
        <v>2291.8396613333316</v>
      </c>
      <c r="AU26" s="132">
        <f t="shared" si="32"/>
        <v>2.7777777777777776E-2</v>
      </c>
      <c r="AV26" s="193">
        <f t="shared" si="33"/>
        <v>3.8461538461538464E-2</v>
      </c>
    </row>
    <row r="27" spans="1:48" s="6" customFormat="1" x14ac:dyDescent="0.3">
      <c r="A27" s="138"/>
      <c r="B27" s="183" t="s">
        <v>81</v>
      </c>
      <c r="C27" s="27"/>
      <c r="D27" s="13"/>
      <c r="E27" s="18"/>
      <c r="F27" s="18"/>
      <c r="G27" s="18"/>
      <c r="I27" s="18"/>
      <c r="J27" s="49"/>
      <c r="K27" s="49"/>
      <c r="L27" s="49"/>
      <c r="M27" s="67" t="s">
        <v>14</v>
      </c>
      <c r="N27" s="68">
        <v>0.28238805338609796</v>
      </c>
      <c r="O27" s="49"/>
      <c r="P27" s="49"/>
      <c r="Q27" s="49"/>
      <c r="R27" s="49"/>
      <c r="S27" s="67" t="s">
        <v>17</v>
      </c>
      <c r="T27" s="49">
        <f>(M25-X27)/11</f>
        <v>122.17431689810182</v>
      </c>
      <c r="U27" s="49"/>
      <c r="V27" s="49"/>
      <c r="W27" s="67" t="s">
        <v>16</v>
      </c>
      <c r="X27" s="69">
        <f>N25*0.1</f>
        <v>144.32909612088</v>
      </c>
      <c r="Y27" s="51"/>
      <c r="Z27" s="49"/>
      <c r="AA27" s="49"/>
      <c r="AB27" s="67" t="s">
        <v>18</v>
      </c>
      <c r="AC27" s="49">
        <f>144.19/5</f>
        <v>28.838000000000001</v>
      </c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"/>
      <c r="AO27" s="33"/>
      <c r="AP27" s="27"/>
      <c r="AR27" s="94"/>
      <c r="AS27" s="27"/>
      <c r="AT27" s="76"/>
      <c r="AU27" s="73"/>
      <c r="AV27" s="33"/>
    </row>
    <row r="28" spans="1:48" s="6" customFormat="1" ht="28.8" x14ac:dyDescent="0.3">
      <c r="A28" s="138"/>
      <c r="B28" s="137" t="s">
        <v>80</v>
      </c>
      <c r="C28" s="27" t="s">
        <v>12</v>
      </c>
      <c r="D28" s="13">
        <f>D26/3.75</f>
        <v>395.35468746666663</v>
      </c>
      <c r="E28" s="13">
        <f t="shared" ref="E28:AM28" si="41">E26/3.75</f>
        <v>353.96826160000001</v>
      </c>
      <c r="F28" s="13">
        <f t="shared" si="41"/>
        <v>359.00761706666668</v>
      </c>
      <c r="G28" s="13">
        <f t="shared" si="41"/>
        <v>357.69225253333332</v>
      </c>
      <c r="H28" s="13">
        <f t="shared" si="41"/>
        <v>378.96220693333333</v>
      </c>
      <c r="I28" s="13">
        <f t="shared" si="41"/>
        <v>390.70833333333331</v>
      </c>
      <c r="J28" s="13">
        <f t="shared" si="41"/>
        <v>387.39912106666662</v>
      </c>
      <c r="K28" s="13">
        <f t="shared" si="41"/>
        <v>390.46686186666665</v>
      </c>
      <c r="L28" s="13">
        <f t="shared" si="41"/>
        <v>392.55100906666667</v>
      </c>
      <c r="M28" s="13">
        <f t="shared" si="41"/>
        <v>396.86575520000002</v>
      </c>
      <c r="N28" s="13">
        <f t="shared" si="41"/>
        <v>364.28175519999996</v>
      </c>
      <c r="O28" s="13">
        <f t="shared" si="41"/>
        <v>331.69775519999996</v>
      </c>
      <c r="P28" s="13">
        <f t="shared" si="41"/>
        <v>299.11375519999996</v>
      </c>
      <c r="Q28" s="13">
        <f t="shared" si="41"/>
        <v>266.52975519999995</v>
      </c>
      <c r="R28" s="13">
        <f t="shared" si="41"/>
        <v>233.94575519999992</v>
      </c>
      <c r="S28" s="13">
        <f t="shared" si="41"/>
        <v>201.36175519999992</v>
      </c>
      <c r="T28" s="13">
        <f t="shared" si="41"/>
        <v>168.77775519999989</v>
      </c>
      <c r="U28" s="13">
        <f t="shared" si="41"/>
        <v>136.19375519999988</v>
      </c>
      <c r="V28" s="13">
        <f t="shared" si="41"/>
        <v>103.6097551999999</v>
      </c>
      <c r="W28" s="13">
        <f t="shared" si="41"/>
        <v>71.025755199999892</v>
      </c>
      <c r="X28" s="13">
        <f t="shared" si="41"/>
        <v>38.441755199999896</v>
      </c>
      <c r="Y28" s="13">
        <f t="shared" si="41"/>
        <v>30.751088533333231</v>
      </c>
      <c r="Z28" s="13">
        <f t="shared" si="41"/>
        <v>23.060421866666562</v>
      </c>
      <c r="AA28" s="13">
        <f t="shared" si="41"/>
        <v>15.369755199999895</v>
      </c>
      <c r="AB28" s="13">
        <f t="shared" si="41"/>
        <v>7.6790885333332284</v>
      </c>
      <c r="AC28" s="13">
        <f t="shared" si="41"/>
        <v>0</v>
      </c>
      <c r="AD28" s="13">
        <f t="shared" si="41"/>
        <v>0</v>
      </c>
      <c r="AE28" s="13">
        <f t="shared" si="41"/>
        <v>0</v>
      </c>
      <c r="AF28" s="13">
        <f t="shared" si="41"/>
        <v>0</v>
      </c>
      <c r="AG28" s="13">
        <f t="shared" si="41"/>
        <v>0</v>
      </c>
      <c r="AH28" s="13">
        <f t="shared" si="41"/>
        <v>0</v>
      </c>
      <c r="AI28" s="13">
        <f t="shared" si="41"/>
        <v>0</v>
      </c>
      <c r="AJ28" s="13">
        <f t="shared" si="41"/>
        <v>0</v>
      </c>
      <c r="AK28" s="13">
        <f t="shared" si="41"/>
        <v>0</v>
      </c>
      <c r="AL28" s="13">
        <f t="shared" si="41"/>
        <v>0</v>
      </c>
      <c r="AM28" s="13">
        <f t="shared" si="41"/>
        <v>0</v>
      </c>
      <c r="AN28" s="1"/>
      <c r="AO28" s="33"/>
      <c r="AP28" s="27"/>
      <c r="AR28" s="94"/>
      <c r="AS28" s="27"/>
      <c r="AT28" s="76"/>
      <c r="AU28" s="73"/>
      <c r="AV28" s="33"/>
    </row>
    <row r="29" spans="1:48" s="6" customFormat="1" x14ac:dyDescent="0.3">
      <c r="A29" s="138"/>
      <c r="B29" s="20" t="s">
        <v>89</v>
      </c>
      <c r="C29" s="27" t="s">
        <v>30</v>
      </c>
      <c r="D29" s="13">
        <f>D25-D26</f>
        <v>0</v>
      </c>
      <c r="E29" s="13">
        <f t="shared" ref="E29:AM29" si="42">E25-E26</f>
        <v>0</v>
      </c>
      <c r="F29" s="13">
        <f t="shared" si="42"/>
        <v>0</v>
      </c>
      <c r="G29" s="13">
        <f t="shared" si="42"/>
        <v>0</v>
      </c>
      <c r="H29" s="13">
        <f t="shared" si="42"/>
        <v>0</v>
      </c>
      <c r="I29" s="13">
        <f t="shared" si="42"/>
        <v>0</v>
      </c>
      <c r="J29" s="13">
        <f t="shared" si="42"/>
        <v>0</v>
      </c>
      <c r="K29" s="13">
        <f t="shared" si="42"/>
        <v>0</v>
      </c>
      <c r="L29" s="13">
        <f t="shared" si="42"/>
        <v>0</v>
      </c>
      <c r="M29" s="13">
        <f t="shared" si="42"/>
        <v>0</v>
      </c>
      <c r="N29" s="92">
        <f t="shared" si="42"/>
        <v>77.234379208799965</v>
      </c>
      <c r="O29" s="13">
        <f t="shared" si="42"/>
        <v>155.20053920879991</v>
      </c>
      <c r="P29" s="13">
        <f t="shared" si="42"/>
        <v>233.16669920880008</v>
      </c>
      <c r="Q29" s="13">
        <f t="shared" si="42"/>
        <v>311.13285920880003</v>
      </c>
      <c r="R29" s="13">
        <f t="shared" si="42"/>
        <v>389.09901920879997</v>
      </c>
      <c r="S29" s="13">
        <f t="shared" si="42"/>
        <v>467.06517920880015</v>
      </c>
      <c r="T29" s="13">
        <f t="shared" si="42"/>
        <v>545.03133920880009</v>
      </c>
      <c r="U29" s="13">
        <f t="shared" si="42"/>
        <v>622.99749920880026</v>
      </c>
      <c r="V29" s="13">
        <f t="shared" si="42"/>
        <v>700.9636592088001</v>
      </c>
      <c r="W29" s="13">
        <f t="shared" si="42"/>
        <v>778.92981920879993</v>
      </c>
      <c r="X29" s="13">
        <f t="shared" si="42"/>
        <v>856.8959792088001</v>
      </c>
      <c r="Y29" s="13">
        <f t="shared" si="42"/>
        <v>841.51213920880002</v>
      </c>
      <c r="Z29" s="13">
        <f t="shared" si="42"/>
        <v>826.12829920879994</v>
      </c>
      <c r="AA29" s="13">
        <f t="shared" si="42"/>
        <v>810.74445920879998</v>
      </c>
      <c r="AB29" s="13">
        <f t="shared" si="42"/>
        <v>795.36061920880002</v>
      </c>
      <c r="AC29" s="13">
        <f t="shared" si="42"/>
        <v>779.93336120879962</v>
      </c>
      <c r="AD29" s="13">
        <f t="shared" si="42"/>
        <v>735.70952120879963</v>
      </c>
      <c r="AE29" s="13">
        <f t="shared" si="42"/>
        <v>691.48568120879952</v>
      </c>
      <c r="AF29" s="13">
        <f t="shared" si="42"/>
        <v>647.26184120879952</v>
      </c>
      <c r="AG29" s="13">
        <f t="shared" si="42"/>
        <v>603.03800120879941</v>
      </c>
      <c r="AH29" s="13">
        <f t="shared" si="42"/>
        <v>558.81416120879953</v>
      </c>
      <c r="AI29" s="13">
        <f t="shared" si="42"/>
        <v>514.59032120879954</v>
      </c>
      <c r="AJ29" s="13">
        <f t="shared" si="42"/>
        <v>470.36648120879948</v>
      </c>
      <c r="AK29" s="13">
        <f t="shared" si="42"/>
        <v>426.14264120879943</v>
      </c>
      <c r="AL29" s="13">
        <f t="shared" si="42"/>
        <v>381.91880120879938</v>
      </c>
      <c r="AM29" s="13">
        <f t="shared" si="42"/>
        <v>337.69496120879944</v>
      </c>
      <c r="AN29" s="1"/>
      <c r="AO29" s="33"/>
      <c r="AP29" s="27"/>
      <c r="AR29" s="76">
        <f t="shared" ref="AR29:AR31" si="43">SUM(N29:AM29)</f>
        <v>14558.418261428795</v>
      </c>
      <c r="AS29" s="27"/>
      <c r="AT29" s="76"/>
      <c r="AU29" s="73"/>
      <c r="AV29" s="33"/>
    </row>
    <row r="30" spans="1:48" s="6" customFormat="1" x14ac:dyDescent="0.3">
      <c r="A30" s="138"/>
      <c r="B30" s="20" t="s">
        <v>89</v>
      </c>
      <c r="C30" s="27" t="s">
        <v>27</v>
      </c>
      <c r="D30" s="13">
        <f>D29/3.75</f>
        <v>0</v>
      </c>
      <c r="E30" s="13">
        <f t="shared" ref="E30:AM30" si="44">E29/3.75</f>
        <v>0</v>
      </c>
      <c r="F30" s="13">
        <f t="shared" si="44"/>
        <v>0</v>
      </c>
      <c r="G30" s="13">
        <f t="shared" si="44"/>
        <v>0</v>
      </c>
      <c r="H30" s="13">
        <f t="shared" si="44"/>
        <v>0</v>
      </c>
      <c r="I30" s="13">
        <f t="shared" si="44"/>
        <v>0</v>
      </c>
      <c r="J30" s="13">
        <f t="shared" si="44"/>
        <v>0</v>
      </c>
      <c r="K30" s="13">
        <f t="shared" si="44"/>
        <v>0</v>
      </c>
      <c r="L30" s="13">
        <f t="shared" si="44"/>
        <v>0</v>
      </c>
      <c r="M30" s="13">
        <f t="shared" si="44"/>
        <v>0</v>
      </c>
      <c r="N30" s="13">
        <f t="shared" si="44"/>
        <v>20.595834455679991</v>
      </c>
      <c r="O30" s="13">
        <f t="shared" si="44"/>
        <v>41.386810455679978</v>
      </c>
      <c r="P30" s="13">
        <f t="shared" si="44"/>
        <v>62.177786455680021</v>
      </c>
      <c r="Q30" s="13">
        <f t="shared" si="44"/>
        <v>82.968762455680007</v>
      </c>
      <c r="R30" s="13">
        <f t="shared" si="44"/>
        <v>103.75973845567999</v>
      </c>
      <c r="S30" s="13">
        <f t="shared" si="44"/>
        <v>124.55071445568004</v>
      </c>
      <c r="T30" s="13">
        <f t="shared" si="44"/>
        <v>145.34169045568004</v>
      </c>
      <c r="U30" s="13">
        <f t="shared" si="44"/>
        <v>166.13266645568007</v>
      </c>
      <c r="V30" s="13">
        <f t="shared" si="44"/>
        <v>186.92364245568004</v>
      </c>
      <c r="W30" s="13">
        <f t="shared" si="44"/>
        <v>207.71461845567998</v>
      </c>
      <c r="X30" s="13">
        <f t="shared" si="44"/>
        <v>228.50559445568004</v>
      </c>
      <c r="Y30" s="13">
        <f t="shared" si="44"/>
        <v>224.40323712234667</v>
      </c>
      <c r="Z30" s="13">
        <f t="shared" si="44"/>
        <v>220.30087978901332</v>
      </c>
      <c r="AA30" s="13">
        <f t="shared" si="44"/>
        <v>216.19852245568001</v>
      </c>
      <c r="AB30" s="13">
        <f t="shared" si="44"/>
        <v>212.09616512234666</v>
      </c>
      <c r="AC30" s="13">
        <f t="shared" si="44"/>
        <v>207.9822296556799</v>
      </c>
      <c r="AD30" s="13">
        <f t="shared" si="44"/>
        <v>196.1892056556799</v>
      </c>
      <c r="AE30" s="13">
        <f t="shared" si="44"/>
        <v>184.39618165567987</v>
      </c>
      <c r="AF30" s="13">
        <f t="shared" si="44"/>
        <v>172.60315765567987</v>
      </c>
      <c r="AG30" s="13">
        <f t="shared" si="44"/>
        <v>160.81013365567983</v>
      </c>
      <c r="AH30" s="13">
        <f t="shared" si="44"/>
        <v>149.01710965567989</v>
      </c>
      <c r="AI30" s="13">
        <f t="shared" si="44"/>
        <v>137.22408565567989</v>
      </c>
      <c r="AJ30" s="13">
        <f t="shared" si="44"/>
        <v>125.43106165567987</v>
      </c>
      <c r="AK30" s="13">
        <f t="shared" si="44"/>
        <v>113.63803765567985</v>
      </c>
      <c r="AL30" s="13">
        <f t="shared" si="44"/>
        <v>101.84501365567984</v>
      </c>
      <c r="AM30" s="13">
        <f t="shared" si="44"/>
        <v>90.051989655679847</v>
      </c>
      <c r="AN30" s="1"/>
      <c r="AO30" s="33"/>
      <c r="AP30" s="27"/>
      <c r="AR30" s="76">
        <f t="shared" si="43"/>
        <v>3882.2448697143454</v>
      </c>
      <c r="AS30" s="27"/>
      <c r="AT30" s="76"/>
      <c r="AU30" s="73"/>
      <c r="AV30" s="33"/>
    </row>
    <row r="31" spans="1:48" s="6" customFormat="1" x14ac:dyDescent="0.3">
      <c r="A31" s="138"/>
      <c r="B31" s="20" t="s">
        <v>89</v>
      </c>
      <c r="C31" s="60" t="s">
        <v>26</v>
      </c>
      <c r="D31" s="13">
        <f>D29/2.1</f>
        <v>0</v>
      </c>
      <c r="E31" s="13">
        <f t="shared" ref="E31:AM31" si="45">E29/2.1</f>
        <v>0</v>
      </c>
      <c r="F31" s="13">
        <f t="shared" si="45"/>
        <v>0</v>
      </c>
      <c r="G31" s="13">
        <f t="shared" si="45"/>
        <v>0</v>
      </c>
      <c r="H31" s="13">
        <f t="shared" si="45"/>
        <v>0</v>
      </c>
      <c r="I31" s="13">
        <f t="shared" si="45"/>
        <v>0</v>
      </c>
      <c r="J31" s="13">
        <f t="shared" si="45"/>
        <v>0</v>
      </c>
      <c r="K31" s="13">
        <f t="shared" si="45"/>
        <v>0</v>
      </c>
      <c r="L31" s="13">
        <f t="shared" si="45"/>
        <v>0</v>
      </c>
      <c r="M31" s="13">
        <f t="shared" si="45"/>
        <v>0</v>
      </c>
      <c r="N31" s="21">
        <f t="shared" si="45"/>
        <v>36.778275813714266</v>
      </c>
      <c r="O31" s="21">
        <f t="shared" si="45"/>
        <v>73.905018670857103</v>
      </c>
      <c r="P31" s="21">
        <f t="shared" si="45"/>
        <v>111.03176152800003</v>
      </c>
      <c r="Q31" s="21">
        <f t="shared" si="45"/>
        <v>148.15850438514286</v>
      </c>
      <c r="R31" s="21">
        <f t="shared" si="45"/>
        <v>185.28524724228569</v>
      </c>
      <c r="S31" s="21">
        <f t="shared" si="45"/>
        <v>222.41199009942864</v>
      </c>
      <c r="T31" s="21">
        <f t="shared" si="45"/>
        <v>259.53873295657144</v>
      </c>
      <c r="U31" s="21">
        <f t="shared" si="45"/>
        <v>296.66547581371441</v>
      </c>
      <c r="V31" s="21">
        <f t="shared" si="45"/>
        <v>333.79221867085715</v>
      </c>
      <c r="W31" s="21">
        <f t="shared" si="45"/>
        <v>370.91896152799995</v>
      </c>
      <c r="X31" s="21">
        <f t="shared" si="45"/>
        <v>408.04570438514287</v>
      </c>
      <c r="Y31" s="21">
        <f t="shared" si="45"/>
        <v>400.72006628990476</v>
      </c>
      <c r="Z31" s="21">
        <f t="shared" si="45"/>
        <v>393.3944281946666</v>
      </c>
      <c r="AA31" s="21">
        <f t="shared" si="45"/>
        <v>386.06879009942855</v>
      </c>
      <c r="AB31" s="21">
        <f t="shared" si="45"/>
        <v>378.74315200419045</v>
      </c>
      <c r="AC31" s="21">
        <f t="shared" si="45"/>
        <v>371.39683867085694</v>
      </c>
      <c r="AD31" s="21">
        <f t="shared" si="45"/>
        <v>350.33786724228554</v>
      </c>
      <c r="AE31" s="21">
        <f t="shared" si="45"/>
        <v>329.27889581371403</v>
      </c>
      <c r="AF31" s="21">
        <f t="shared" si="45"/>
        <v>308.21992438514263</v>
      </c>
      <c r="AG31" s="21">
        <f t="shared" si="45"/>
        <v>287.16095295657112</v>
      </c>
      <c r="AH31" s="21">
        <f t="shared" si="45"/>
        <v>266.10198152799978</v>
      </c>
      <c r="AI31" s="21">
        <f t="shared" si="45"/>
        <v>245.04301009942833</v>
      </c>
      <c r="AJ31" s="21">
        <f t="shared" si="45"/>
        <v>223.98403867085688</v>
      </c>
      <c r="AK31" s="21">
        <f t="shared" si="45"/>
        <v>202.92506724228542</v>
      </c>
      <c r="AL31" s="21">
        <f t="shared" si="45"/>
        <v>181.86609581371397</v>
      </c>
      <c r="AM31" s="21">
        <f t="shared" si="45"/>
        <v>160.80712438514257</v>
      </c>
      <c r="AN31" s="1"/>
      <c r="AO31" s="33"/>
      <c r="AP31" s="27"/>
      <c r="AR31" s="76">
        <f t="shared" si="43"/>
        <v>6932.5801244899021</v>
      </c>
      <c r="AS31" s="27"/>
      <c r="AT31" s="76"/>
      <c r="AU31" s="73"/>
      <c r="AV31" s="33"/>
    </row>
    <row r="32" spans="1:48" s="6" customFormat="1" x14ac:dyDescent="0.3">
      <c r="A32" s="27"/>
      <c r="B32" s="55"/>
      <c r="C32" s="59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1"/>
      <c r="AO32" s="33"/>
      <c r="AP32" s="27"/>
      <c r="AR32" s="76"/>
      <c r="AS32" s="27"/>
      <c r="AT32" s="76"/>
      <c r="AU32" s="73"/>
      <c r="AV32" s="33"/>
    </row>
    <row r="33" spans="1:48" s="27" customFormat="1" x14ac:dyDescent="0.3">
      <c r="A33" s="154" t="s">
        <v>61</v>
      </c>
      <c r="B33" s="155" t="s">
        <v>59</v>
      </c>
      <c r="C33" s="27" t="s">
        <v>30</v>
      </c>
      <c r="D33" s="61">
        <f t="shared" ref="D33:AM33" si="46">D3+D11+D22</f>
        <v>5247.5864249999995</v>
      </c>
      <c r="E33" s="61">
        <f t="shared" si="46"/>
        <v>5145.5045159999991</v>
      </c>
      <c r="F33" s="61">
        <f t="shared" si="46"/>
        <v>5171.3094490000003</v>
      </c>
      <c r="G33" s="61">
        <f t="shared" si="46"/>
        <v>5210.6546629999993</v>
      </c>
      <c r="H33" s="61">
        <f t="shared" si="46"/>
        <v>5260.3677969999999</v>
      </c>
      <c r="I33" s="61">
        <f t="shared" si="46"/>
        <v>5260.1634519999998</v>
      </c>
      <c r="J33" s="61">
        <f t="shared" si="46"/>
        <v>5218.6213379999999</v>
      </c>
      <c r="K33" s="61">
        <f t="shared" si="46"/>
        <v>5158.5769049999999</v>
      </c>
      <c r="L33" s="61">
        <f t="shared" si="46"/>
        <v>5129.119385</v>
      </c>
      <c r="M33" s="61">
        <f t="shared" si="46"/>
        <v>5098.7178960000001</v>
      </c>
      <c r="N33" s="61">
        <f t="shared" si="46"/>
        <v>5057.0340580000002</v>
      </c>
      <c r="O33" s="61">
        <f t="shared" si="46"/>
        <v>5009.9017329999997</v>
      </c>
      <c r="P33" s="61">
        <f t="shared" si="46"/>
        <v>4953.7619620000005</v>
      </c>
      <c r="Q33" s="61">
        <f t="shared" si="46"/>
        <v>4911.4973149999996</v>
      </c>
      <c r="R33" s="61">
        <f t="shared" si="46"/>
        <v>4874.5385740000002</v>
      </c>
      <c r="S33" s="61">
        <f t="shared" si="46"/>
        <v>4839.3657219999996</v>
      </c>
      <c r="T33" s="61">
        <f t="shared" si="46"/>
        <v>4820.5339360000007</v>
      </c>
      <c r="U33" s="61">
        <f t="shared" si="46"/>
        <v>4806.9180909999995</v>
      </c>
      <c r="V33" s="61">
        <f t="shared" si="46"/>
        <v>4803.2607429999998</v>
      </c>
      <c r="W33" s="61">
        <f t="shared" si="46"/>
        <v>4807.7595220000003</v>
      </c>
      <c r="X33" s="61">
        <f t="shared" si="46"/>
        <v>4815.596313</v>
      </c>
      <c r="Y33" s="61">
        <f t="shared" si="46"/>
        <v>4824.9133299999994</v>
      </c>
      <c r="Z33" s="61">
        <f t="shared" si="46"/>
        <v>4833.3306890000003</v>
      </c>
      <c r="AA33" s="61">
        <f t="shared" si="46"/>
        <v>4843.4977410000001</v>
      </c>
      <c r="AB33" s="61">
        <f t="shared" si="46"/>
        <v>4857.650208</v>
      </c>
      <c r="AC33" s="61">
        <f t="shared" si="46"/>
        <v>4866.8219600000002</v>
      </c>
      <c r="AD33" s="61">
        <f t="shared" si="46"/>
        <v>4879.7175290000005</v>
      </c>
      <c r="AE33" s="61">
        <f t="shared" si="46"/>
        <v>4895.9627079999991</v>
      </c>
      <c r="AF33" s="61">
        <f t="shared" si="46"/>
        <v>4915.9878549999994</v>
      </c>
      <c r="AG33" s="61">
        <f t="shared" si="46"/>
        <v>4936.4450080000006</v>
      </c>
      <c r="AH33" s="61">
        <f t="shared" si="46"/>
        <v>4956.7985229999995</v>
      </c>
      <c r="AI33" s="61">
        <f t="shared" si="46"/>
        <v>4980.7808230000001</v>
      </c>
      <c r="AJ33" s="61">
        <f t="shared" si="46"/>
        <v>5001.5524299999997</v>
      </c>
      <c r="AK33" s="61">
        <f t="shared" si="46"/>
        <v>5021.395203</v>
      </c>
      <c r="AL33" s="61">
        <f t="shared" si="46"/>
        <v>5044.3646849999996</v>
      </c>
      <c r="AM33" s="61">
        <f t="shared" si="46"/>
        <v>5072.6318969999993</v>
      </c>
      <c r="AN33" s="25">
        <f>(AM33-D33)/D33</f>
        <v>-3.3339999350272771E-2</v>
      </c>
      <c r="AO33" s="193">
        <f>(5584.8-AM33)/5584.8</f>
        <v>9.1707510206274323E-2</v>
      </c>
      <c r="AP33" s="62">
        <f t="shared" ref="AP33:AP34" si="47">SUM(D33:AM33)</f>
        <v>179532.64038400003</v>
      </c>
      <c r="AR33" s="191">
        <f>SUM(N33:AM33)</f>
        <v>127632.01855799998</v>
      </c>
      <c r="AS33" s="62">
        <f>AS3+AS11+AS22</f>
        <v>66083.63360956918</v>
      </c>
      <c r="AT33" s="192">
        <f>AT3+AT11+AT22</f>
        <v>47408.338276767885</v>
      </c>
      <c r="AU33" s="71">
        <f t="shared" ref="AU33:AU34" si="48">((D33-AM33)/D33)/36</f>
        <v>9.2611109306313258E-4</v>
      </c>
      <c r="AV33" s="193">
        <f t="shared" ref="AV33:AV34" si="49">((M33-AM33)/M33)/26</f>
        <v>1.9677645916305563E-4</v>
      </c>
    </row>
    <row r="34" spans="1:48" s="27" customFormat="1" x14ac:dyDescent="0.3">
      <c r="A34" s="154" t="s">
        <v>61</v>
      </c>
      <c r="B34" s="155" t="s">
        <v>60</v>
      </c>
      <c r="C34" s="27" t="s">
        <v>30</v>
      </c>
      <c r="D34" s="61">
        <f t="shared" ref="D34:AM34" si="50">D4+D13+D24</f>
        <v>5247.5864249999995</v>
      </c>
      <c r="E34" s="61">
        <f t="shared" si="50"/>
        <v>5145.4127189999999</v>
      </c>
      <c r="F34" s="61">
        <f t="shared" si="50"/>
        <v>5171.1643060000006</v>
      </c>
      <c r="G34" s="61">
        <f t="shared" si="50"/>
        <v>5206.7216799999997</v>
      </c>
      <c r="H34" s="61">
        <f t="shared" si="50"/>
        <v>5265.9489739999999</v>
      </c>
      <c r="I34" s="61">
        <f t="shared" si="50"/>
        <v>5276.2746580000003</v>
      </c>
      <c r="J34" s="61">
        <f t="shared" si="50"/>
        <v>5248.6640619999998</v>
      </c>
      <c r="K34" s="61">
        <f t="shared" si="50"/>
        <v>5254.1228019999999</v>
      </c>
      <c r="L34" s="61">
        <f t="shared" si="50"/>
        <v>5259.2686759999997</v>
      </c>
      <c r="M34" s="61">
        <f t="shared" si="50"/>
        <v>5267.403687</v>
      </c>
      <c r="N34" s="61">
        <f t="shared" si="50"/>
        <v>5256.0526129999998</v>
      </c>
      <c r="O34" s="61">
        <f t="shared" si="50"/>
        <v>5238.8431399999999</v>
      </c>
      <c r="P34" s="61">
        <f t="shared" si="50"/>
        <v>5226.0173340000001</v>
      </c>
      <c r="Q34" s="61">
        <f t="shared" si="50"/>
        <v>5216.1348879999996</v>
      </c>
      <c r="R34" s="61">
        <f t="shared" si="50"/>
        <v>5212.2038569999995</v>
      </c>
      <c r="S34" s="61">
        <f t="shared" si="50"/>
        <v>5198.9335929999997</v>
      </c>
      <c r="T34" s="61">
        <f t="shared" si="50"/>
        <v>5179.9820550000004</v>
      </c>
      <c r="U34" s="61">
        <f t="shared" si="50"/>
        <v>5169.1597899999997</v>
      </c>
      <c r="V34" s="61">
        <f t="shared" si="50"/>
        <v>5164.9082039999994</v>
      </c>
      <c r="W34" s="61">
        <f t="shared" si="50"/>
        <v>5176.1385489999993</v>
      </c>
      <c r="X34" s="61">
        <f t="shared" si="50"/>
        <v>5196.6997080000001</v>
      </c>
      <c r="Y34" s="61">
        <f t="shared" si="50"/>
        <v>5209.7468260000005</v>
      </c>
      <c r="Z34" s="61">
        <f t="shared" si="50"/>
        <v>5232.2434090000006</v>
      </c>
      <c r="AA34" s="61">
        <f t="shared" si="50"/>
        <v>5257.9882809999999</v>
      </c>
      <c r="AB34" s="61">
        <f t="shared" si="50"/>
        <v>5276.3182369999995</v>
      </c>
      <c r="AC34" s="61">
        <f t="shared" si="50"/>
        <v>5285.6448980000005</v>
      </c>
      <c r="AD34" s="61">
        <f t="shared" si="50"/>
        <v>5298.3944090000005</v>
      </c>
      <c r="AE34" s="61">
        <f t="shared" si="50"/>
        <v>5315.9449460000005</v>
      </c>
      <c r="AF34" s="61">
        <f t="shared" si="50"/>
        <v>5343.9739989999998</v>
      </c>
      <c r="AG34" s="61">
        <f t="shared" si="50"/>
        <v>5375.3741449999998</v>
      </c>
      <c r="AH34" s="61">
        <f t="shared" si="50"/>
        <v>5407.8178709999993</v>
      </c>
      <c r="AI34" s="61">
        <f t="shared" si="50"/>
        <v>5437.6636960000005</v>
      </c>
      <c r="AJ34" s="61">
        <f t="shared" si="50"/>
        <v>5465.7871100000002</v>
      </c>
      <c r="AK34" s="61">
        <f t="shared" si="50"/>
        <v>5488.6303709999993</v>
      </c>
      <c r="AL34" s="61">
        <f t="shared" si="50"/>
        <v>5516.0683589999999</v>
      </c>
      <c r="AM34" s="61">
        <f t="shared" si="50"/>
        <v>5553.8001709999999</v>
      </c>
      <c r="AN34" s="25">
        <f>(AM34-D34)/D34</f>
        <v>5.8353254467838588E-2</v>
      </c>
      <c r="AO34" s="193">
        <f>(5584.8-AM34)/5584.8</f>
        <v>5.5507500716230332E-3</v>
      </c>
      <c r="AP34" s="62">
        <f t="shared" si="47"/>
        <v>190043.03844800004</v>
      </c>
      <c r="AR34" s="191">
        <f>SUM(N34:AM34)</f>
        <v>137700.470459</v>
      </c>
      <c r="AS34" s="62">
        <f>AS4+AS13+AS24</f>
        <v>68709.870465002954</v>
      </c>
      <c r="AT34" s="192">
        <f>AT4+AT13+AT24</f>
        <v>49913.334950202305</v>
      </c>
      <c r="AU34" s="71">
        <f t="shared" si="48"/>
        <v>-1.6209237352177385E-3</v>
      </c>
      <c r="AV34" s="193">
        <f t="shared" si="49"/>
        <v>-2.0912104025368541E-3</v>
      </c>
    </row>
    <row r="35" spans="1:48" s="7" customFormat="1" x14ac:dyDescent="0.3">
      <c r="A35" s="154" t="s">
        <v>61</v>
      </c>
      <c r="B35" s="155" t="s">
        <v>60</v>
      </c>
      <c r="C35" s="27" t="s">
        <v>3</v>
      </c>
      <c r="D35" s="56">
        <f t="shared" ref="D35:AM35" si="51">D34/1000</f>
        <v>5.2475864249999997</v>
      </c>
      <c r="E35" s="56">
        <f t="shared" si="51"/>
        <v>5.1454127190000003</v>
      </c>
      <c r="F35" s="56">
        <f t="shared" si="51"/>
        <v>5.1711643060000005</v>
      </c>
      <c r="G35" s="56">
        <f t="shared" si="51"/>
        <v>5.2067216799999994</v>
      </c>
      <c r="H35" s="56">
        <f t="shared" si="51"/>
        <v>5.2659489739999996</v>
      </c>
      <c r="I35" s="56">
        <f t="shared" si="51"/>
        <v>5.2762746580000002</v>
      </c>
      <c r="J35" s="56">
        <f t="shared" si="51"/>
        <v>5.2486640619999996</v>
      </c>
      <c r="K35" s="56">
        <f t="shared" si="51"/>
        <v>5.2541228019999995</v>
      </c>
      <c r="L35" s="56">
        <f t="shared" si="51"/>
        <v>5.2592686759999996</v>
      </c>
      <c r="M35" s="56">
        <f t="shared" si="51"/>
        <v>5.2674036869999998</v>
      </c>
      <c r="N35" s="56">
        <f t="shared" si="51"/>
        <v>5.2560526129999996</v>
      </c>
      <c r="O35" s="56">
        <f t="shared" si="51"/>
        <v>5.2388431400000002</v>
      </c>
      <c r="P35" s="56">
        <f t="shared" si="51"/>
        <v>5.2260173339999998</v>
      </c>
      <c r="Q35" s="56">
        <f t="shared" si="51"/>
        <v>5.216134888</v>
      </c>
      <c r="R35" s="56">
        <f t="shared" si="51"/>
        <v>5.2122038569999996</v>
      </c>
      <c r="S35" s="56">
        <f t="shared" si="51"/>
        <v>5.1989335929999996</v>
      </c>
      <c r="T35" s="56">
        <f t="shared" si="51"/>
        <v>5.179982055</v>
      </c>
      <c r="U35" s="56">
        <f t="shared" si="51"/>
        <v>5.1691597900000001</v>
      </c>
      <c r="V35" s="56">
        <f t="shared" si="51"/>
        <v>5.1649082039999996</v>
      </c>
      <c r="W35" s="56">
        <f t="shared" si="51"/>
        <v>5.1761385489999991</v>
      </c>
      <c r="X35" s="56">
        <f t="shared" si="51"/>
        <v>5.1966997079999997</v>
      </c>
      <c r="Y35" s="56">
        <f t="shared" si="51"/>
        <v>5.2097468260000008</v>
      </c>
      <c r="Z35" s="56">
        <f t="shared" si="51"/>
        <v>5.2322434090000005</v>
      </c>
      <c r="AA35" s="56">
        <f t="shared" si="51"/>
        <v>5.2579882810000003</v>
      </c>
      <c r="AB35" s="56">
        <f t="shared" si="51"/>
        <v>5.2763182369999999</v>
      </c>
      <c r="AC35" s="56">
        <f t="shared" si="51"/>
        <v>5.2856448980000001</v>
      </c>
      <c r="AD35" s="56">
        <f t="shared" si="51"/>
        <v>5.2983944090000001</v>
      </c>
      <c r="AE35" s="56">
        <f t="shared" si="51"/>
        <v>5.3159449460000001</v>
      </c>
      <c r="AF35" s="56">
        <f t="shared" si="51"/>
        <v>5.3439739990000001</v>
      </c>
      <c r="AG35" s="56">
        <f t="shared" si="51"/>
        <v>5.3753741449999994</v>
      </c>
      <c r="AH35" s="56">
        <f t="shared" si="51"/>
        <v>5.4078178709999989</v>
      </c>
      <c r="AI35" s="56">
        <f t="shared" si="51"/>
        <v>5.4376636960000004</v>
      </c>
      <c r="AJ35" s="56">
        <f t="shared" si="51"/>
        <v>5.4657871099999999</v>
      </c>
      <c r="AK35" s="56">
        <f t="shared" si="51"/>
        <v>5.4886303709999993</v>
      </c>
      <c r="AL35" s="56">
        <f t="shared" si="51"/>
        <v>5.5160683590000001</v>
      </c>
      <c r="AM35" s="56">
        <f t="shared" si="51"/>
        <v>5.5538001709999998</v>
      </c>
      <c r="AN35" s="25">
        <f>(AM35-D35)/D35</f>
        <v>5.8353254467838532E-2</v>
      </c>
      <c r="AO35" s="77"/>
      <c r="AP35" s="61">
        <f t="shared" ref="AP35:AP36" si="52">SUM(D35:AM35)</f>
        <v>190.04303844799998</v>
      </c>
      <c r="AR35" s="107">
        <f t="shared" ref="AR35:AR36" si="53">SUM(N35:AM35)</f>
        <v>137.70047045899997</v>
      </c>
      <c r="AS35" s="96"/>
      <c r="AT35" s="76">
        <f>AT7+AT10+AT22</f>
        <v>47408.338276767885</v>
      </c>
      <c r="AU35" s="74"/>
      <c r="AV35" s="77"/>
    </row>
    <row r="36" spans="1:48" s="7" customFormat="1" x14ac:dyDescent="0.3">
      <c r="A36" s="154" t="s">
        <v>61</v>
      </c>
      <c r="B36" s="155" t="s">
        <v>59</v>
      </c>
      <c r="C36" s="27" t="s">
        <v>3</v>
      </c>
      <c r="D36" s="56">
        <f>D33/1000</f>
        <v>5.2475864249999997</v>
      </c>
      <c r="E36" s="56">
        <f t="shared" ref="E36:AM36" si="54">E33/1000</f>
        <v>5.145504515999999</v>
      </c>
      <c r="F36" s="56">
        <f t="shared" si="54"/>
        <v>5.1713094490000007</v>
      </c>
      <c r="G36" s="56">
        <f t="shared" si="54"/>
        <v>5.2106546629999997</v>
      </c>
      <c r="H36" s="56">
        <f t="shared" si="54"/>
        <v>5.2603677969999998</v>
      </c>
      <c r="I36" s="56">
        <f t="shared" si="54"/>
        <v>5.2601634519999996</v>
      </c>
      <c r="J36" s="56">
        <f t="shared" si="54"/>
        <v>5.2186213380000002</v>
      </c>
      <c r="K36" s="56">
        <f t="shared" si="54"/>
        <v>5.1585769050000003</v>
      </c>
      <c r="L36" s="56">
        <f t="shared" si="54"/>
        <v>5.1291193850000001</v>
      </c>
      <c r="M36" s="56">
        <f t="shared" si="54"/>
        <v>5.0987178960000001</v>
      </c>
      <c r="N36" s="56">
        <f t="shared" si="54"/>
        <v>5.0570340580000002</v>
      </c>
      <c r="O36" s="56">
        <f t="shared" si="54"/>
        <v>5.0099017329999995</v>
      </c>
      <c r="P36" s="56">
        <f t="shared" si="54"/>
        <v>4.9537619620000006</v>
      </c>
      <c r="Q36" s="56">
        <f t="shared" si="54"/>
        <v>4.9114973149999992</v>
      </c>
      <c r="R36" s="56">
        <f t="shared" si="54"/>
        <v>4.8745385739999998</v>
      </c>
      <c r="S36" s="56">
        <f t="shared" si="54"/>
        <v>4.8393657219999993</v>
      </c>
      <c r="T36" s="56">
        <f t="shared" si="54"/>
        <v>4.8205339360000004</v>
      </c>
      <c r="U36" s="56">
        <f t="shared" si="54"/>
        <v>4.8069180909999991</v>
      </c>
      <c r="V36" s="56">
        <f t="shared" si="54"/>
        <v>4.8032607430000001</v>
      </c>
      <c r="W36" s="56">
        <f t="shared" si="54"/>
        <v>4.8077595220000005</v>
      </c>
      <c r="X36" s="56">
        <f t="shared" si="54"/>
        <v>4.8155963130000004</v>
      </c>
      <c r="Y36" s="56">
        <f t="shared" si="54"/>
        <v>4.8249133299999993</v>
      </c>
      <c r="Z36" s="56">
        <f t="shared" si="54"/>
        <v>4.8333306890000003</v>
      </c>
      <c r="AA36" s="56">
        <f t="shared" si="54"/>
        <v>4.8434977410000002</v>
      </c>
      <c r="AB36" s="56">
        <f t="shared" si="54"/>
        <v>4.8576502079999999</v>
      </c>
      <c r="AC36" s="56">
        <f t="shared" si="54"/>
        <v>4.8668219600000002</v>
      </c>
      <c r="AD36" s="56">
        <f t="shared" si="54"/>
        <v>4.8797175290000006</v>
      </c>
      <c r="AE36" s="56">
        <f t="shared" si="54"/>
        <v>4.895962707999999</v>
      </c>
      <c r="AF36" s="56">
        <f t="shared" si="54"/>
        <v>4.9159878549999991</v>
      </c>
      <c r="AG36" s="56">
        <f t="shared" si="54"/>
        <v>4.9364450080000006</v>
      </c>
      <c r="AH36" s="56">
        <f t="shared" si="54"/>
        <v>4.9567985229999998</v>
      </c>
      <c r="AI36" s="56">
        <f t="shared" si="54"/>
        <v>4.9807808229999999</v>
      </c>
      <c r="AJ36" s="56">
        <f t="shared" si="54"/>
        <v>5.0015524299999994</v>
      </c>
      <c r="AK36" s="56">
        <f t="shared" si="54"/>
        <v>5.021395203</v>
      </c>
      <c r="AL36" s="56">
        <f t="shared" si="54"/>
        <v>5.0443646849999997</v>
      </c>
      <c r="AM36" s="56">
        <f t="shared" si="54"/>
        <v>5.0726318969999991</v>
      </c>
      <c r="AN36" s="25">
        <f>(AM36-D36)/D36</f>
        <v>-3.3339999350272861E-2</v>
      </c>
      <c r="AO36" s="77"/>
      <c r="AP36" s="61">
        <f t="shared" si="52"/>
        <v>179.53264038399999</v>
      </c>
      <c r="AR36" s="107">
        <f t="shared" si="53"/>
        <v>127.632018558</v>
      </c>
      <c r="AS36" s="96"/>
      <c r="AT36" s="76"/>
      <c r="AU36" s="74"/>
      <c r="AV36" s="77"/>
    </row>
    <row r="37" spans="1:48" x14ac:dyDescent="0.3">
      <c r="A37" s="156"/>
      <c r="B37" s="104"/>
      <c r="AR37" s="153"/>
      <c r="AU37" s="75"/>
    </row>
    <row r="38" spans="1:48" s="7" customFormat="1" ht="28.8" x14ac:dyDescent="0.3">
      <c r="A38" s="154" t="s">
        <v>61</v>
      </c>
      <c r="B38" s="157" t="s">
        <v>29</v>
      </c>
      <c r="C38" s="27" t="s">
        <v>3</v>
      </c>
      <c r="D38" s="56">
        <v>5.2475864249999997</v>
      </c>
      <c r="E38" s="56">
        <f t="shared" ref="E38:M38" si="55">E35</f>
        <v>5.1454127190000003</v>
      </c>
      <c r="F38" s="56">
        <f t="shared" si="55"/>
        <v>5.1711643060000005</v>
      </c>
      <c r="G38" s="56">
        <f t="shared" si="55"/>
        <v>5.2067216799999994</v>
      </c>
      <c r="H38" s="56">
        <f t="shared" si="55"/>
        <v>5.2659489739999996</v>
      </c>
      <c r="I38" s="56">
        <f t="shared" si="55"/>
        <v>5.2762746580000002</v>
      </c>
      <c r="J38" s="56">
        <f t="shared" si="55"/>
        <v>5.2486640619999996</v>
      </c>
      <c r="K38" s="56">
        <f t="shared" si="55"/>
        <v>5.2541228019999995</v>
      </c>
      <c r="L38" s="56">
        <f t="shared" si="55"/>
        <v>5.2592686759999996</v>
      </c>
      <c r="M38" s="56">
        <f t="shared" si="55"/>
        <v>5.2674036869999998</v>
      </c>
      <c r="N38" s="146">
        <f>M38-0.1566</f>
        <v>5.1108036869999998</v>
      </c>
      <c r="O38" s="146">
        <f t="shared" ref="O38:AM38" si="56">N38-0.1566</f>
        <v>4.9542036869999997</v>
      </c>
      <c r="P38" s="146">
        <f t="shared" si="56"/>
        <v>4.7976036869999996</v>
      </c>
      <c r="Q38" s="146">
        <f t="shared" si="56"/>
        <v>4.6410036869999995</v>
      </c>
      <c r="R38" s="146">
        <f t="shared" si="56"/>
        <v>4.4844036869999995</v>
      </c>
      <c r="S38" s="146">
        <f t="shared" si="56"/>
        <v>4.3278036869999994</v>
      </c>
      <c r="T38" s="146">
        <f t="shared" si="56"/>
        <v>4.1712036869999993</v>
      </c>
      <c r="U38" s="146">
        <f t="shared" si="56"/>
        <v>4.0146036869999993</v>
      </c>
      <c r="V38" s="146">
        <f t="shared" si="56"/>
        <v>3.8580036869999992</v>
      </c>
      <c r="W38" s="146">
        <f t="shared" si="56"/>
        <v>3.7014036869999991</v>
      </c>
      <c r="X38" s="146">
        <f t="shared" si="56"/>
        <v>3.544803686999999</v>
      </c>
      <c r="Y38" s="146">
        <f t="shared" si="56"/>
        <v>3.388203686999999</v>
      </c>
      <c r="Z38" s="146">
        <f t="shared" si="56"/>
        <v>3.2316036869999989</v>
      </c>
      <c r="AA38" s="146">
        <f t="shared" si="56"/>
        <v>3.0750036869999988</v>
      </c>
      <c r="AB38" s="146">
        <f t="shared" si="56"/>
        <v>2.9184036869999987</v>
      </c>
      <c r="AC38" s="146">
        <f t="shared" si="56"/>
        <v>2.7618036869999987</v>
      </c>
      <c r="AD38" s="146">
        <f t="shared" si="56"/>
        <v>2.6052036869999986</v>
      </c>
      <c r="AE38" s="146">
        <f t="shared" si="56"/>
        <v>2.4486036869999985</v>
      </c>
      <c r="AF38" s="146">
        <f t="shared" si="56"/>
        <v>2.2920036869999985</v>
      </c>
      <c r="AG38" s="146">
        <f t="shared" si="56"/>
        <v>2.1354036869999984</v>
      </c>
      <c r="AH38" s="146">
        <f t="shared" si="56"/>
        <v>1.9788036869999983</v>
      </c>
      <c r="AI38" s="146">
        <f t="shared" si="56"/>
        <v>1.8222036869999982</v>
      </c>
      <c r="AJ38" s="146">
        <f t="shared" si="56"/>
        <v>1.6656036869999982</v>
      </c>
      <c r="AK38" s="146">
        <f t="shared" si="56"/>
        <v>1.5090036869999981</v>
      </c>
      <c r="AL38" s="146">
        <f t="shared" si="56"/>
        <v>1.352403686999998</v>
      </c>
      <c r="AM38" s="146">
        <f t="shared" si="56"/>
        <v>1.195803686999998</v>
      </c>
      <c r="AN38" s="25">
        <f>(AM38-D38)/D38</f>
        <v>-0.77212310762466418</v>
      </c>
      <c r="AO38" s="193">
        <f>(5.9848-AM38)/5.9848</f>
        <v>0.80019320829434604</v>
      </c>
      <c r="AP38" s="27"/>
      <c r="AR38" s="191">
        <f t="shared" ref="AR38" si="57">SUM(N38:AM38)</f>
        <v>81.985895861999964</v>
      </c>
      <c r="AS38" s="27"/>
      <c r="AT38" s="191">
        <f>+AT5+AT14+AT25</f>
        <v>29427.805600517055</v>
      </c>
      <c r="AU38" s="71">
        <f t="shared" ref="AU38" si="58">((D38-AM38)/D38)/36</f>
        <v>2.1447864100685117E-2</v>
      </c>
      <c r="AV38" s="193">
        <f t="shared" ref="AV38" si="59">((M38-AM38)/M38)/26</f>
        <v>2.9730016779706915E-2</v>
      </c>
    </row>
    <row r="39" spans="1:48" x14ac:dyDescent="0.3">
      <c r="B39" s="3"/>
      <c r="C39" s="27"/>
      <c r="D39" s="1"/>
      <c r="F39" s="3"/>
      <c r="N39" s="40"/>
      <c r="O39" s="44" t="s">
        <v>5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7" t="s">
        <v>23</v>
      </c>
      <c r="AM39" s="48">
        <f>((M38-AM38)/26)/M38</f>
        <v>2.9730016779706915E-2</v>
      </c>
    </row>
    <row r="40" spans="1:48" x14ac:dyDescent="0.3">
      <c r="B40" s="145" t="s">
        <v>69</v>
      </c>
      <c r="C40" s="27" t="s">
        <v>3</v>
      </c>
      <c r="D40" s="45">
        <v>5.9847999999999999</v>
      </c>
      <c r="E40" s="57" t="s">
        <v>33</v>
      </c>
      <c r="S40" s="40"/>
      <c r="AM40" s="23" t="s">
        <v>31</v>
      </c>
      <c r="AN40" s="1">
        <f>AN38+85.05</f>
        <v>84.277876892375332</v>
      </c>
      <c r="AO40" s="78"/>
    </row>
    <row r="41" spans="1:48" x14ac:dyDescent="0.3">
      <c r="B41" s="3" t="s">
        <v>7</v>
      </c>
      <c r="D41" s="32">
        <f>AM39</f>
        <v>2.9730016779706915E-2</v>
      </c>
    </row>
    <row r="42" spans="1:48" ht="28.8" x14ac:dyDescent="0.3">
      <c r="B42" s="182" t="s">
        <v>73</v>
      </c>
      <c r="D42" s="46">
        <v>2</v>
      </c>
      <c r="H42" s="10"/>
      <c r="I42" s="12"/>
      <c r="K42" s="9"/>
      <c r="L42" s="9"/>
      <c r="M42" s="9"/>
      <c r="N42" s="9"/>
      <c r="O42" s="41"/>
      <c r="P42" s="24" t="s">
        <v>6</v>
      </c>
      <c r="Q42" s="42">
        <f>D40*0.2</f>
        <v>1.19696</v>
      </c>
      <c r="AM42" s="3" t="s">
        <v>32</v>
      </c>
      <c r="AN42">
        <f>AN40/0.172</f>
        <v>489.98765635101944</v>
      </c>
    </row>
    <row r="43" spans="1:48" x14ac:dyDescent="0.3">
      <c r="H43" s="3"/>
      <c r="I43" s="11"/>
      <c r="K43" s="9"/>
      <c r="L43" s="9"/>
      <c r="M43" s="9"/>
      <c r="N43" s="9"/>
      <c r="O43" s="41"/>
      <c r="P43" s="24" t="s">
        <v>4</v>
      </c>
      <c r="Q43" s="34">
        <f>(M38-Q42)/26</f>
        <v>0.15655552642307694</v>
      </c>
    </row>
    <row r="44" spans="1:48" x14ac:dyDescent="0.3">
      <c r="H44" s="3"/>
    </row>
    <row r="45" spans="1:48" s="169" customFormat="1" x14ac:dyDescent="0.3">
      <c r="A45" s="167"/>
      <c r="B45" s="165" t="s">
        <v>45</v>
      </c>
      <c r="C45" s="166" t="s">
        <v>46</v>
      </c>
      <c r="H45" s="170"/>
      <c r="K45" s="168" t="s">
        <v>8</v>
      </c>
      <c r="L45" s="168"/>
      <c r="M45" s="168"/>
      <c r="N45" s="168">
        <f>M45+1</f>
        <v>1</v>
      </c>
      <c r="O45" s="168">
        <f t="shared" ref="O45:AM45" si="60">N45+1</f>
        <v>2</v>
      </c>
      <c r="P45" s="168">
        <f t="shared" si="60"/>
        <v>3</v>
      </c>
      <c r="Q45" s="168">
        <f t="shared" si="60"/>
        <v>4</v>
      </c>
      <c r="R45" s="168">
        <f t="shared" si="60"/>
        <v>5</v>
      </c>
      <c r="S45" s="168">
        <f t="shared" si="60"/>
        <v>6</v>
      </c>
      <c r="T45" s="168">
        <f t="shared" si="60"/>
        <v>7</v>
      </c>
      <c r="U45" s="168">
        <f t="shared" si="60"/>
        <v>8</v>
      </c>
      <c r="V45" s="168">
        <f t="shared" si="60"/>
        <v>9</v>
      </c>
      <c r="W45" s="168">
        <f t="shared" si="60"/>
        <v>10</v>
      </c>
      <c r="X45" s="168">
        <f t="shared" si="60"/>
        <v>11</v>
      </c>
      <c r="Y45" s="168">
        <f t="shared" si="60"/>
        <v>12</v>
      </c>
      <c r="Z45" s="168">
        <f t="shared" si="60"/>
        <v>13</v>
      </c>
      <c r="AA45" s="168">
        <f t="shared" si="60"/>
        <v>14</v>
      </c>
      <c r="AB45" s="168">
        <f t="shared" si="60"/>
        <v>15</v>
      </c>
      <c r="AC45" s="168">
        <f t="shared" si="60"/>
        <v>16</v>
      </c>
      <c r="AD45" s="168">
        <f t="shared" si="60"/>
        <v>17</v>
      </c>
      <c r="AE45" s="168">
        <f t="shared" si="60"/>
        <v>18</v>
      </c>
      <c r="AF45" s="168">
        <f t="shared" si="60"/>
        <v>19</v>
      </c>
      <c r="AG45" s="168">
        <f t="shared" si="60"/>
        <v>20</v>
      </c>
      <c r="AH45" s="168">
        <f t="shared" si="60"/>
        <v>21</v>
      </c>
      <c r="AI45" s="168">
        <f t="shared" si="60"/>
        <v>22</v>
      </c>
      <c r="AJ45" s="168">
        <f t="shared" si="60"/>
        <v>23</v>
      </c>
      <c r="AK45" s="168">
        <f t="shared" si="60"/>
        <v>24</v>
      </c>
      <c r="AL45" s="168">
        <f t="shared" si="60"/>
        <v>25</v>
      </c>
      <c r="AM45" s="168">
        <f t="shared" si="60"/>
        <v>26</v>
      </c>
      <c r="AO45" s="171"/>
      <c r="AP45" s="167"/>
      <c r="AR45" s="172"/>
      <c r="AS45" s="167"/>
      <c r="AT45" s="172"/>
      <c r="AV45" s="171"/>
    </row>
    <row r="46" spans="1:48" x14ac:dyDescent="0.3">
      <c r="B46" t="s">
        <v>24</v>
      </c>
      <c r="C46" s="4" t="s">
        <v>12</v>
      </c>
      <c r="D46">
        <f>D47/2.1</f>
        <v>700.49049000000002</v>
      </c>
      <c r="E46">
        <f t="shared" ref="E46:AM46" si="61">E47/2.1</f>
        <v>710.92372333333333</v>
      </c>
      <c r="F46">
        <f t="shared" si="61"/>
        <v>713.23544476190466</v>
      </c>
      <c r="G46">
        <f t="shared" si="61"/>
        <v>718.62072190476181</v>
      </c>
      <c r="H46">
        <f t="shared" si="61"/>
        <v>711.24459380952374</v>
      </c>
      <c r="I46">
        <f t="shared" si="61"/>
        <v>697.22400476190467</v>
      </c>
      <c r="J46">
        <f t="shared" si="61"/>
        <v>693.7462214285714</v>
      </c>
      <c r="K46">
        <f t="shared" si="61"/>
        <v>693.01432285714282</v>
      </c>
      <c r="L46">
        <f t="shared" si="61"/>
        <v>696.79030666666665</v>
      </c>
      <c r="M46">
        <f t="shared" si="61"/>
        <v>707.77756476190473</v>
      </c>
      <c r="N46">
        <f t="shared" si="61"/>
        <v>719.79393380952376</v>
      </c>
      <c r="O46">
        <f t="shared" si="61"/>
        <v>730.49723285714276</v>
      </c>
      <c r="P46">
        <f t="shared" si="61"/>
        <v>734.13062666666667</v>
      </c>
      <c r="Q46">
        <f t="shared" si="61"/>
        <v>740.26041666666663</v>
      </c>
      <c r="R46">
        <f t="shared" si="61"/>
        <v>746.72305142857147</v>
      </c>
      <c r="S46">
        <f t="shared" si="61"/>
        <v>751.07596238095232</v>
      </c>
      <c r="T46">
        <f t="shared" si="61"/>
        <v>750.30575714285715</v>
      </c>
      <c r="U46">
        <f t="shared" si="61"/>
        <v>755.99766333333321</v>
      </c>
      <c r="V46">
        <f t="shared" si="61"/>
        <v>759.8756047619047</v>
      </c>
      <c r="W46">
        <f t="shared" si="61"/>
        <v>770.47183095238097</v>
      </c>
      <c r="X46">
        <f t="shared" si="61"/>
        <v>782.68298904761912</v>
      </c>
      <c r="Y46">
        <f t="shared" si="61"/>
        <v>787.13402142857137</v>
      </c>
      <c r="Z46">
        <f t="shared" si="61"/>
        <v>795.84466857142854</v>
      </c>
      <c r="AA46">
        <f t="shared" si="61"/>
        <v>803.59322666666662</v>
      </c>
      <c r="AB46">
        <f t="shared" si="61"/>
        <v>810.44224333333329</v>
      </c>
      <c r="AC46">
        <f t="shared" si="61"/>
        <v>814.6053061904762</v>
      </c>
      <c r="AD46">
        <f t="shared" si="61"/>
        <v>821.42490952380956</v>
      </c>
      <c r="AE46">
        <f t="shared" si="61"/>
        <v>827.40164619047619</v>
      </c>
      <c r="AF46">
        <f t="shared" si="61"/>
        <v>832.18970904761898</v>
      </c>
      <c r="AG46">
        <f t="shared" si="61"/>
        <v>839.84340142857138</v>
      </c>
      <c r="AH46">
        <f t="shared" si="61"/>
        <v>848.09279666666669</v>
      </c>
      <c r="AI46">
        <f t="shared" si="61"/>
        <v>855.31238380952379</v>
      </c>
      <c r="AJ46">
        <f t="shared" si="61"/>
        <v>862.89736809523799</v>
      </c>
      <c r="AK46">
        <f t="shared" si="61"/>
        <v>868.20242761904751</v>
      </c>
      <c r="AL46">
        <f t="shared" si="61"/>
        <v>872.97014523809526</v>
      </c>
      <c r="AM46">
        <f t="shared" si="61"/>
        <v>884.63094095238091</v>
      </c>
      <c r="AN46" s="25">
        <f>(AM46-D46)/D46</f>
        <v>0.26287359154923129</v>
      </c>
      <c r="AO46" s="39"/>
      <c r="AP46" s="62">
        <f t="shared" ref="AP46" si="62">SUM(D46:AM46)</f>
        <v>27809.467658095233</v>
      </c>
      <c r="AR46" s="110">
        <f>SUM(N46:AM46)</f>
        <v>20766.400263809519</v>
      </c>
    </row>
    <row r="47" spans="1:48" x14ac:dyDescent="0.3">
      <c r="B47" t="s">
        <v>24</v>
      </c>
      <c r="C47" s="60" t="s">
        <v>30</v>
      </c>
      <c r="D47" s="1">
        <f t="shared" ref="D47:AM47" si="63">D11</f>
        <v>1471.030029</v>
      </c>
      <c r="E47" s="1">
        <f t="shared" si="63"/>
        <v>1492.9398189999999</v>
      </c>
      <c r="F47" s="1">
        <f t="shared" si="63"/>
        <v>1497.7944339999999</v>
      </c>
      <c r="G47" s="1">
        <f t="shared" si="63"/>
        <v>1509.1035159999999</v>
      </c>
      <c r="H47" s="1">
        <f t="shared" si="63"/>
        <v>1493.6136469999999</v>
      </c>
      <c r="I47" s="1">
        <f t="shared" si="63"/>
        <v>1464.1704099999999</v>
      </c>
      <c r="J47" s="1">
        <f t="shared" si="63"/>
        <v>1456.8670649999999</v>
      </c>
      <c r="K47" s="1">
        <f t="shared" si="63"/>
        <v>1455.330078</v>
      </c>
      <c r="L47" s="1">
        <f t="shared" si="63"/>
        <v>1463.259644</v>
      </c>
      <c r="M47" s="1">
        <f t="shared" si="63"/>
        <v>1486.3328859999999</v>
      </c>
      <c r="N47" s="1">
        <f t="shared" si="63"/>
        <v>1511.5672609999999</v>
      </c>
      <c r="O47" s="1">
        <f t="shared" si="63"/>
        <v>1534.044189</v>
      </c>
      <c r="P47" s="1">
        <f t="shared" si="63"/>
        <v>1541.6743160000001</v>
      </c>
      <c r="Q47" s="1">
        <f t="shared" si="63"/>
        <v>1554.546875</v>
      </c>
      <c r="R47" s="1">
        <f t="shared" si="63"/>
        <v>1568.118408</v>
      </c>
      <c r="S47" s="1">
        <f t="shared" si="63"/>
        <v>1577.2595209999999</v>
      </c>
      <c r="T47" s="1">
        <f t="shared" si="63"/>
        <v>1575.6420900000001</v>
      </c>
      <c r="U47" s="1">
        <f t="shared" si="63"/>
        <v>1587.5950929999999</v>
      </c>
      <c r="V47" s="1">
        <f t="shared" si="63"/>
        <v>1595.7387699999999</v>
      </c>
      <c r="W47" s="1">
        <f t="shared" si="63"/>
        <v>1617.990845</v>
      </c>
      <c r="X47" s="1">
        <f t="shared" si="63"/>
        <v>1643.6342770000001</v>
      </c>
      <c r="Y47" s="1">
        <f t="shared" si="63"/>
        <v>1652.9814449999999</v>
      </c>
      <c r="Z47" s="1">
        <f t="shared" si="63"/>
        <v>1671.2738039999999</v>
      </c>
      <c r="AA47" s="1">
        <f t="shared" si="63"/>
        <v>1687.5457759999999</v>
      </c>
      <c r="AB47" s="1">
        <f t="shared" si="63"/>
        <v>1701.928711</v>
      </c>
      <c r="AC47" s="1">
        <f t="shared" si="63"/>
        <v>1710.671143</v>
      </c>
      <c r="AD47" s="1">
        <f t="shared" si="63"/>
        <v>1724.9923100000001</v>
      </c>
      <c r="AE47" s="1">
        <f t="shared" si="63"/>
        <v>1737.543457</v>
      </c>
      <c r="AF47" s="1">
        <f t="shared" si="63"/>
        <v>1747.598389</v>
      </c>
      <c r="AG47" s="1">
        <f t="shared" si="63"/>
        <v>1763.671143</v>
      </c>
      <c r="AH47" s="1">
        <f t="shared" si="63"/>
        <v>1780.9948730000001</v>
      </c>
      <c r="AI47" s="1">
        <f t="shared" si="63"/>
        <v>1796.1560059999999</v>
      </c>
      <c r="AJ47" s="1">
        <f t="shared" si="63"/>
        <v>1812.0844729999999</v>
      </c>
      <c r="AK47" s="1">
        <f t="shared" si="63"/>
        <v>1823.2250979999999</v>
      </c>
      <c r="AL47" s="1">
        <f t="shared" si="63"/>
        <v>1833.2373050000001</v>
      </c>
      <c r="AM47" s="1">
        <f t="shared" si="63"/>
        <v>1857.724976</v>
      </c>
      <c r="AN47" s="25">
        <f>(AM47-D47)/D47</f>
        <v>0.26287359154923134</v>
      </c>
      <c r="AO47" s="39">
        <f>(1175.2-AM47)/1175.2</f>
        <v>-0.58077346494213744</v>
      </c>
      <c r="AP47" s="62">
        <f t="shared" ref="AP47:AP66" si="64">SUM(D47:AM47)</f>
        <v>58399.882082000004</v>
      </c>
      <c r="AR47" s="110">
        <f>SUM(N47:AM47)</f>
        <v>43609.440554000001</v>
      </c>
    </row>
    <row r="48" spans="1:48" x14ac:dyDescent="0.3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P48" s="62"/>
      <c r="AR48" s="110"/>
    </row>
    <row r="49" spans="1:48" s="44" customFormat="1" x14ac:dyDescent="0.3">
      <c r="A49" s="58"/>
      <c r="B49" s="44" t="s">
        <v>25</v>
      </c>
      <c r="C49" s="60" t="s">
        <v>30</v>
      </c>
      <c r="D49" s="45">
        <f t="shared" ref="D49:AM49" si="65">D13</f>
        <v>1471.030029</v>
      </c>
      <c r="E49" s="45">
        <f t="shared" si="65"/>
        <v>1492.8579099999999</v>
      </c>
      <c r="F49" s="45">
        <f t="shared" si="65"/>
        <v>1497.8508300000001</v>
      </c>
      <c r="G49" s="45">
        <f t="shared" si="65"/>
        <v>1511.3950199999999</v>
      </c>
      <c r="H49" s="45">
        <f t="shared" si="65"/>
        <v>1491.060913</v>
      </c>
      <c r="I49" s="45">
        <f t="shared" si="65"/>
        <v>1466.1264650000001</v>
      </c>
      <c r="J49" s="45">
        <f t="shared" si="65"/>
        <v>1456.971313</v>
      </c>
      <c r="K49" s="45">
        <f t="shared" si="65"/>
        <v>1459.198486</v>
      </c>
      <c r="L49" s="45">
        <f t="shared" si="65"/>
        <v>1471.014404</v>
      </c>
      <c r="M49" s="45">
        <f t="shared" si="65"/>
        <v>1482.994751</v>
      </c>
      <c r="N49" s="45">
        <f t="shared" si="65"/>
        <v>1502.7844239999999</v>
      </c>
      <c r="O49" s="45">
        <f t="shared" si="65"/>
        <v>1518.3698730000001</v>
      </c>
      <c r="P49" s="45">
        <f t="shared" si="65"/>
        <v>1520.862793</v>
      </c>
      <c r="Q49" s="45">
        <f t="shared" si="65"/>
        <v>1526.0927730000001</v>
      </c>
      <c r="R49" s="45">
        <f t="shared" si="65"/>
        <v>1528.9133300000001</v>
      </c>
      <c r="S49" s="45">
        <f t="shared" si="65"/>
        <v>1530.2733149999999</v>
      </c>
      <c r="T49" s="45">
        <f t="shared" si="65"/>
        <v>1535.610107</v>
      </c>
      <c r="U49" s="45">
        <f t="shared" si="65"/>
        <v>1545.9975589999999</v>
      </c>
      <c r="V49" s="45">
        <f t="shared" si="65"/>
        <v>1556.3118899999999</v>
      </c>
      <c r="W49" s="45">
        <f t="shared" si="65"/>
        <v>1575.3367920000001</v>
      </c>
      <c r="X49" s="45">
        <f t="shared" si="65"/>
        <v>1598.4472659999999</v>
      </c>
      <c r="Y49" s="45">
        <f t="shared" si="65"/>
        <v>1615.828491</v>
      </c>
      <c r="Z49" s="45">
        <f t="shared" si="65"/>
        <v>1631.181885</v>
      </c>
      <c r="AA49" s="45">
        <f t="shared" si="65"/>
        <v>1646.9267580000001</v>
      </c>
      <c r="AB49" s="45">
        <f t="shared" si="65"/>
        <v>1667.0610349999999</v>
      </c>
      <c r="AC49" s="45">
        <f t="shared" si="65"/>
        <v>1678.1347659999999</v>
      </c>
      <c r="AD49" s="45">
        <f t="shared" si="65"/>
        <v>1689.733154</v>
      </c>
      <c r="AE49" s="45">
        <f t="shared" si="65"/>
        <v>1698.081543</v>
      </c>
      <c r="AF49" s="45">
        <f t="shared" si="65"/>
        <v>1709.346436</v>
      </c>
      <c r="AG49" s="45">
        <f t="shared" si="65"/>
        <v>1725.5198969999999</v>
      </c>
      <c r="AH49" s="45">
        <f t="shared" si="65"/>
        <v>1741.9301760000001</v>
      </c>
      <c r="AI49" s="45">
        <f t="shared" si="65"/>
        <v>1756.1831050000001</v>
      </c>
      <c r="AJ49" s="45">
        <f t="shared" si="65"/>
        <v>1770.748779</v>
      </c>
      <c r="AK49" s="45">
        <f t="shared" si="65"/>
        <v>1782.039673</v>
      </c>
      <c r="AL49" s="45">
        <f t="shared" si="65"/>
        <v>1793.5474850000001</v>
      </c>
      <c r="AM49" s="45">
        <f t="shared" si="65"/>
        <v>1809.471558</v>
      </c>
      <c r="AN49" s="25">
        <f>(AM49-D49)/D49</f>
        <v>0.23007112181800332</v>
      </c>
      <c r="AO49" s="39">
        <f>(1175.2-AM49)/1175.2</f>
        <v>-0.53971371511232125</v>
      </c>
      <c r="AP49" s="63">
        <f t="shared" ref="AP49" si="66">SUM(D49:AM49)</f>
        <v>57455.234983999995</v>
      </c>
      <c r="AR49" s="110"/>
      <c r="AS49" s="58"/>
      <c r="AT49" s="97"/>
      <c r="AV49" s="48"/>
    </row>
    <row r="50" spans="1:48" x14ac:dyDescent="0.3">
      <c r="B50" s="149" t="s">
        <v>11</v>
      </c>
      <c r="C50" s="27" t="s">
        <v>30</v>
      </c>
      <c r="D50" s="150">
        <f t="shared" ref="D50:AM50" si="67">D15+D51</f>
        <v>2953.610107</v>
      </c>
      <c r="E50" s="150">
        <f t="shared" si="67"/>
        <v>2820.238891</v>
      </c>
      <c r="F50" s="150">
        <f t="shared" si="67"/>
        <v>2844.129394</v>
      </c>
      <c r="G50" s="150">
        <f t="shared" si="67"/>
        <v>2852.7409669999997</v>
      </c>
      <c r="H50" s="150">
        <f t="shared" si="67"/>
        <v>2912.1691890000002</v>
      </c>
      <c r="I50" s="150">
        <f t="shared" si="67"/>
        <v>2931.9606049240001</v>
      </c>
      <c r="J50" s="150">
        <f t="shared" si="67"/>
        <v>2911.8753132359998</v>
      </c>
      <c r="K50" s="150">
        <f t="shared" si="67"/>
        <v>2924.8968709560004</v>
      </c>
      <c r="L50" s="150">
        <f t="shared" si="67"/>
        <v>2934.1429759279999</v>
      </c>
      <c r="M50" s="150">
        <f t="shared" si="67"/>
        <v>2952.5848069860003</v>
      </c>
      <c r="N50" s="150">
        <f t="shared" si="67"/>
        <v>2904.9808156907998</v>
      </c>
      <c r="O50" s="150">
        <f t="shared" si="67"/>
        <v>2815.9693756907996</v>
      </c>
      <c r="P50" s="150">
        <f t="shared" si="67"/>
        <v>2726.9579356907998</v>
      </c>
      <c r="Q50" s="150">
        <f t="shared" si="67"/>
        <v>2637.9464956907996</v>
      </c>
      <c r="R50" s="150">
        <f t="shared" si="67"/>
        <v>2548.9350556907993</v>
      </c>
      <c r="S50" s="150">
        <f t="shared" si="67"/>
        <v>2459.9236156907996</v>
      </c>
      <c r="T50" s="150">
        <f t="shared" si="67"/>
        <v>2370.9121756907994</v>
      </c>
      <c r="U50" s="150">
        <f t="shared" si="67"/>
        <v>2281.9007356907996</v>
      </c>
      <c r="V50" s="150">
        <f t="shared" si="67"/>
        <v>2192.8892956907994</v>
      </c>
      <c r="W50" s="150">
        <f t="shared" si="67"/>
        <v>2103.8778556907992</v>
      </c>
      <c r="X50" s="150">
        <f t="shared" si="67"/>
        <v>2116.2478011389994</v>
      </c>
      <c r="Y50" s="150">
        <f t="shared" si="67"/>
        <v>2125.8163611389991</v>
      </c>
      <c r="Z50" s="150">
        <f t="shared" si="67"/>
        <v>2135.3849211389993</v>
      </c>
      <c r="AA50" s="150">
        <f t="shared" si="67"/>
        <v>2144.953481138999</v>
      </c>
      <c r="AB50" s="150">
        <f t="shared" si="67"/>
        <v>2154.5220411389992</v>
      </c>
      <c r="AC50" s="150">
        <f t="shared" si="67"/>
        <v>2164.0906011389989</v>
      </c>
      <c r="AD50" s="150">
        <f t="shared" si="67"/>
        <v>2047.0648490971189</v>
      </c>
      <c r="AE50" s="150">
        <f t="shared" si="67"/>
        <v>1931.0178396419387</v>
      </c>
      <c r="AF50" s="150">
        <f t="shared" si="67"/>
        <v>1814.0750781867587</v>
      </c>
      <c r="AG50" s="150">
        <f t="shared" si="67"/>
        <v>1696.2365647315783</v>
      </c>
      <c r="AH50" s="150">
        <f t="shared" si="67"/>
        <v>1577.5022992763986</v>
      </c>
      <c r="AI50" s="150">
        <f t="shared" si="67"/>
        <v>1452.6607792763987</v>
      </c>
      <c r="AJ50" s="150">
        <f t="shared" si="67"/>
        <v>1327.8192592763985</v>
      </c>
      <c r="AK50" s="150">
        <f t="shared" si="67"/>
        <v>1202.9777392763983</v>
      </c>
      <c r="AL50" s="150">
        <f t="shared" si="67"/>
        <v>1078.1362192763984</v>
      </c>
      <c r="AM50" s="150">
        <f t="shared" si="67"/>
        <v>953.29469927639843</v>
      </c>
      <c r="AO50" s="151"/>
      <c r="AP50" s="103"/>
      <c r="AQ50" s="104"/>
      <c r="AR50" s="110">
        <f>SUM(N50:AM50)</f>
        <v>52966.093891057775</v>
      </c>
    </row>
    <row r="51" spans="1:48" x14ac:dyDescent="0.3">
      <c r="B51" s="141" t="s">
        <v>37</v>
      </c>
      <c r="C51" s="27" t="s">
        <v>30</v>
      </c>
      <c r="D51" s="150">
        <f t="shared" ref="D51:AM51" si="68">D25+D54</f>
        <v>2953.610107</v>
      </c>
      <c r="E51" s="150">
        <f t="shared" si="68"/>
        <v>2820.238891</v>
      </c>
      <c r="F51" s="150">
        <f t="shared" si="68"/>
        <v>2844.129394</v>
      </c>
      <c r="G51" s="150">
        <f t="shared" si="68"/>
        <v>2852.7409669999997</v>
      </c>
      <c r="H51" s="150">
        <f t="shared" si="68"/>
        <v>2912.1691890000002</v>
      </c>
      <c r="I51" s="150">
        <f t="shared" si="68"/>
        <v>2931.9606049240001</v>
      </c>
      <c r="J51" s="150">
        <f t="shared" si="68"/>
        <v>2911.8753132359998</v>
      </c>
      <c r="K51" s="150">
        <f t="shared" si="68"/>
        <v>2924.8968709560004</v>
      </c>
      <c r="L51" s="150">
        <f t="shared" si="68"/>
        <v>2934.1429759279999</v>
      </c>
      <c r="M51" s="150">
        <f t="shared" si="68"/>
        <v>2952.5848069860003</v>
      </c>
      <c r="N51" s="150">
        <f t="shared" si="68"/>
        <v>2904.9808156907998</v>
      </c>
      <c r="O51" s="150">
        <f t="shared" si="68"/>
        <v>2815.9693756907996</v>
      </c>
      <c r="P51" s="150">
        <f t="shared" si="68"/>
        <v>2726.9579356907998</v>
      </c>
      <c r="Q51" s="150">
        <f t="shared" si="68"/>
        <v>2637.9464956907996</v>
      </c>
      <c r="R51" s="150">
        <f t="shared" si="68"/>
        <v>2548.9350556907993</v>
      </c>
      <c r="S51" s="150">
        <f t="shared" si="68"/>
        <v>2459.9236156907996</v>
      </c>
      <c r="T51" s="150">
        <f t="shared" si="68"/>
        <v>2370.9121756907994</v>
      </c>
      <c r="U51" s="150">
        <f t="shared" si="68"/>
        <v>2281.9007356907996</v>
      </c>
      <c r="V51" s="150">
        <f t="shared" si="68"/>
        <v>2192.8892956907994</v>
      </c>
      <c r="W51" s="150">
        <f t="shared" si="68"/>
        <v>2103.8778556907992</v>
      </c>
      <c r="X51" s="150">
        <f t="shared" si="68"/>
        <v>2014.8664156907994</v>
      </c>
      <c r="Y51" s="150">
        <f t="shared" si="68"/>
        <v>1925.8549756907992</v>
      </c>
      <c r="Z51" s="150">
        <f t="shared" si="68"/>
        <v>1836.8435356907992</v>
      </c>
      <c r="AA51" s="150">
        <f t="shared" si="68"/>
        <v>1747.8320956907992</v>
      </c>
      <c r="AB51" s="150">
        <f t="shared" si="68"/>
        <v>1658.8206556907992</v>
      </c>
      <c r="AC51" s="150">
        <f t="shared" si="68"/>
        <v>1569.8092156907992</v>
      </c>
      <c r="AD51" s="150">
        <f t="shared" si="68"/>
        <v>1480.7977756907992</v>
      </c>
      <c r="AE51" s="150">
        <f t="shared" si="68"/>
        <v>1391.786335690799</v>
      </c>
      <c r="AF51" s="150">
        <f t="shared" si="68"/>
        <v>1302.774895690799</v>
      </c>
      <c r="AG51" s="150">
        <f t="shared" si="68"/>
        <v>1213.7634556907988</v>
      </c>
      <c r="AH51" s="150">
        <f t="shared" si="68"/>
        <v>1124.752015690799</v>
      </c>
      <c r="AI51" s="150">
        <f t="shared" si="68"/>
        <v>1035.740575690799</v>
      </c>
      <c r="AJ51" s="150">
        <f t="shared" si="68"/>
        <v>946.72913569079901</v>
      </c>
      <c r="AK51" s="150">
        <f t="shared" si="68"/>
        <v>857.71769569079879</v>
      </c>
      <c r="AL51" s="150">
        <f t="shared" si="68"/>
        <v>768.7062556907988</v>
      </c>
      <c r="AM51" s="150">
        <f t="shared" si="68"/>
        <v>679.69481569079881</v>
      </c>
      <c r="AO51" s="151"/>
      <c r="AP51" s="103"/>
      <c r="AQ51" s="104"/>
      <c r="AR51" s="110"/>
    </row>
    <row r="52" spans="1:48" ht="28.8" x14ac:dyDescent="0.3">
      <c r="B52" s="20" t="s">
        <v>82</v>
      </c>
      <c r="C52" s="27" t="s">
        <v>30</v>
      </c>
      <c r="D52" s="163">
        <f t="shared" ref="D52:AM52" si="69">D51-D20</f>
        <v>2953.610107</v>
      </c>
      <c r="E52" s="163">
        <f t="shared" si="69"/>
        <v>2820.238891</v>
      </c>
      <c r="F52" s="163">
        <f t="shared" si="69"/>
        <v>2844.129394</v>
      </c>
      <c r="G52" s="163">
        <f t="shared" si="69"/>
        <v>2852.7409669999997</v>
      </c>
      <c r="H52" s="163">
        <f t="shared" si="69"/>
        <v>2912.1691890000002</v>
      </c>
      <c r="I52" s="163">
        <f t="shared" si="69"/>
        <v>2931.9606049240001</v>
      </c>
      <c r="J52" s="163">
        <f t="shared" si="69"/>
        <v>2911.8753132359998</v>
      </c>
      <c r="K52" s="163">
        <f t="shared" si="69"/>
        <v>2924.8968709560004</v>
      </c>
      <c r="L52" s="163">
        <f t="shared" si="69"/>
        <v>2934.1429759279999</v>
      </c>
      <c r="M52" s="163">
        <f t="shared" si="69"/>
        <v>2952.5848069860003</v>
      </c>
      <c r="N52" s="163">
        <f t="shared" si="69"/>
        <v>2827.7464364819998</v>
      </c>
      <c r="O52" s="163">
        <f t="shared" si="69"/>
        <v>2660.7688364819996</v>
      </c>
      <c r="P52" s="163">
        <f t="shared" si="69"/>
        <v>2493.7912364819995</v>
      </c>
      <c r="Q52" s="163">
        <f t="shared" si="69"/>
        <v>2326.8136364819993</v>
      </c>
      <c r="R52" s="163">
        <f t="shared" si="69"/>
        <v>2159.8360364819991</v>
      </c>
      <c r="S52" s="163">
        <f t="shared" si="69"/>
        <v>1992.8584364819994</v>
      </c>
      <c r="T52" s="163">
        <f t="shared" si="69"/>
        <v>1825.8808364819993</v>
      </c>
      <c r="U52" s="163">
        <f t="shared" si="69"/>
        <v>1658.9032364819993</v>
      </c>
      <c r="V52" s="163">
        <f t="shared" si="69"/>
        <v>1491.9256364819994</v>
      </c>
      <c r="W52" s="163">
        <f t="shared" si="69"/>
        <v>1324.9480364819992</v>
      </c>
      <c r="X52" s="163">
        <f t="shared" si="69"/>
        <v>1157.9704364819993</v>
      </c>
      <c r="Y52" s="163">
        <f t="shared" si="69"/>
        <v>1084.3428364819993</v>
      </c>
      <c r="Z52" s="163">
        <f t="shared" si="69"/>
        <v>1010.7152364819992</v>
      </c>
      <c r="AA52" s="163">
        <f t="shared" si="69"/>
        <v>937.0876364819992</v>
      </c>
      <c r="AB52" s="163">
        <f t="shared" si="69"/>
        <v>863.46003648199917</v>
      </c>
      <c r="AC52" s="163">
        <f t="shared" si="69"/>
        <v>789.87585448199957</v>
      </c>
      <c r="AD52" s="163">
        <f t="shared" si="69"/>
        <v>745.08825448199957</v>
      </c>
      <c r="AE52" s="163">
        <f t="shared" si="69"/>
        <v>700.30065448199946</v>
      </c>
      <c r="AF52" s="163">
        <f t="shared" si="69"/>
        <v>655.51305448199946</v>
      </c>
      <c r="AG52" s="163">
        <f t="shared" si="69"/>
        <v>610.72545448199935</v>
      </c>
      <c r="AH52" s="163">
        <f t="shared" si="69"/>
        <v>565.93785448199947</v>
      </c>
      <c r="AI52" s="163">
        <f t="shared" si="69"/>
        <v>521.15025448199947</v>
      </c>
      <c r="AJ52" s="163">
        <f t="shared" si="69"/>
        <v>476.36265448199953</v>
      </c>
      <c r="AK52" s="163">
        <f t="shared" si="69"/>
        <v>431.57505448199936</v>
      </c>
      <c r="AL52" s="163">
        <f t="shared" si="69"/>
        <v>386.78745448199942</v>
      </c>
      <c r="AM52" s="163">
        <f t="shared" si="69"/>
        <v>341.99985448199936</v>
      </c>
      <c r="AN52" s="40"/>
      <c r="AO52" s="164"/>
      <c r="AP52" s="108">
        <f t="shared" si="64"/>
        <v>61080.714066561988</v>
      </c>
      <c r="AQ52" s="104"/>
      <c r="AR52" s="110">
        <f>SUM(N52:AM52)</f>
        <v>32042.364946531987</v>
      </c>
    </row>
    <row r="53" spans="1:48" x14ac:dyDescent="0.3">
      <c r="B53" s="8" t="s">
        <v>25</v>
      </c>
      <c r="C53" s="27" t="s">
        <v>30</v>
      </c>
      <c r="D53" s="147">
        <f t="shared" ref="D53:AM53" si="70">D13</f>
        <v>1471.030029</v>
      </c>
      <c r="E53" s="147">
        <f t="shared" si="70"/>
        <v>1492.8579099999999</v>
      </c>
      <c r="F53" s="147">
        <f t="shared" si="70"/>
        <v>1497.8508300000001</v>
      </c>
      <c r="G53" s="147">
        <f t="shared" si="70"/>
        <v>1511.3950199999999</v>
      </c>
      <c r="H53" s="147">
        <f t="shared" si="70"/>
        <v>1491.060913</v>
      </c>
      <c r="I53" s="147">
        <f t="shared" si="70"/>
        <v>1466.1264650000001</v>
      </c>
      <c r="J53" s="147">
        <f t="shared" si="70"/>
        <v>1456.971313</v>
      </c>
      <c r="K53" s="147">
        <f t="shared" si="70"/>
        <v>1459.198486</v>
      </c>
      <c r="L53" s="147">
        <f t="shared" si="70"/>
        <v>1471.014404</v>
      </c>
      <c r="M53" s="147">
        <f t="shared" si="70"/>
        <v>1482.994751</v>
      </c>
      <c r="N53" s="147">
        <f t="shared" si="70"/>
        <v>1502.7844239999999</v>
      </c>
      <c r="O53" s="147">
        <f t="shared" si="70"/>
        <v>1518.3698730000001</v>
      </c>
      <c r="P53" s="147">
        <f t="shared" si="70"/>
        <v>1520.862793</v>
      </c>
      <c r="Q53" s="147">
        <f t="shared" si="70"/>
        <v>1526.0927730000001</v>
      </c>
      <c r="R53" s="147">
        <f t="shared" si="70"/>
        <v>1528.9133300000001</v>
      </c>
      <c r="S53" s="147">
        <f t="shared" si="70"/>
        <v>1530.2733149999999</v>
      </c>
      <c r="T53" s="147">
        <f t="shared" si="70"/>
        <v>1535.610107</v>
      </c>
      <c r="U53" s="147">
        <f t="shared" si="70"/>
        <v>1545.9975589999999</v>
      </c>
      <c r="V53" s="147">
        <f t="shared" si="70"/>
        <v>1556.3118899999999</v>
      </c>
      <c r="W53" s="147">
        <f t="shared" si="70"/>
        <v>1575.3367920000001</v>
      </c>
      <c r="X53" s="147">
        <f t="shared" si="70"/>
        <v>1598.4472659999999</v>
      </c>
      <c r="Y53" s="147">
        <f t="shared" si="70"/>
        <v>1615.828491</v>
      </c>
      <c r="Z53" s="147">
        <f t="shared" si="70"/>
        <v>1631.181885</v>
      </c>
      <c r="AA53" s="147">
        <f t="shared" si="70"/>
        <v>1646.9267580000001</v>
      </c>
      <c r="AB53" s="147">
        <f t="shared" si="70"/>
        <v>1667.0610349999999</v>
      </c>
      <c r="AC53" s="147">
        <f t="shared" si="70"/>
        <v>1678.1347659999999</v>
      </c>
      <c r="AD53" s="147">
        <f t="shared" si="70"/>
        <v>1689.733154</v>
      </c>
      <c r="AE53" s="147">
        <f t="shared" si="70"/>
        <v>1698.081543</v>
      </c>
      <c r="AF53" s="147">
        <f t="shared" si="70"/>
        <v>1709.346436</v>
      </c>
      <c r="AG53" s="147">
        <f t="shared" si="70"/>
        <v>1725.5198969999999</v>
      </c>
      <c r="AH53" s="147">
        <f t="shared" si="70"/>
        <v>1741.9301760000001</v>
      </c>
      <c r="AI53" s="147">
        <f t="shared" si="70"/>
        <v>1756.1831050000001</v>
      </c>
      <c r="AJ53" s="147">
        <f t="shared" si="70"/>
        <v>1770.748779</v>
      </c>
      <c r="AK53" s="147">
        <f t="shared" si="70"/>
        <v>1782.039673</v>
      </c>
      <c r="AL53" s="147">
        <f t="shared" si="70"/>
        <v>1793.5474850000001</v>
      </c>
      <c r="AM53" s="147">
        <f t="shared" si="70"/>
        <v>1809.471558</v>
      </c>
      <c r="AN53" s="101">
        <f>(AM53-D53)/D53</f>
        <v>0.23007112181800332</v>
      </c>
      <c r="AO53" s="102">
        <f>(1175.2-AM53)/1175.2</f>
        <v>-0.53971371511232125</v>
      </c>
      <c r="AP53" s="103"/>
      <c r="AQ53" s="104"/>
      <c r="AR53" s="110">
        <f>SUM(N53:AM53)</f>
        <v>42654.734863000005</v>
      </c>
    </row>
    <row r="54" spans="1:48" s="7" customFormat="1" x14ac:dyDescent="0.3">
      <c r="A54" s="27"/>
      <c r="B54" s="141" t="s">
        <v>36</v>
      </c>
      <c r="C54" s="27" t="s">
        <v>30</v>
      </c>
      <c r="D54" s="148">
        <f t="shared" ref="D54:AM54" si="71">D14</f>
        <v>1471.030029</v>
      </c>
      <c r="E54" s="148">
        <f t="shared" si="71"/>
        <v>1492.8579099999999</v>
      </c>
      <c r="F54" s="148">
        <f t="shared" si="71"/>
        <v>1497.8508300000001</v>
      </c>
      <c r="G54" s="148">
        <f t="shared" si="71"/>
        <v>1511.3950199999999</v>
      </c>
      <c r="H54" s="148">
        <f t="shared" si="71"/>
        <v>1491.060913</v>
      </c>
      <c r="I54" s="148">
        <f t="shared" si="71"/>
        <v>1466.8043549240001</v>
      </c>
      <c r="J54" s="148">
        <f t="shared" si="71"/>
        <v>1459.1286092360001</v>
      </c>
      <c r="K54" s="148">
        <f t="shared" si="71"/>
        <v>1460.6461389560002</v>
      </c>
      <c r="L54" s="148">
        <f t="shared" si="71"/>
        <v>1462.0766919279999</v>
      </c>
      <c r="M54" s="148">
        <f t="shared" si="71"/>
        <v>1464.3382249860001</v>
      </c>
      <c r="N54" s="148">
        <f t="shared" si="71"/>
        <v>1461.6898544819999</v>
      </c>
      <c r="O54" s="148">
        <f t="shared" si="71"/>
        <v>1416.9022544819998</v>
      </c>
      <c r="P54" s="148">
        <f t="shared" si="71"/>
        <v>1372.1146544819999</v>
      </c>
      <c r="Q54" s="148">
        <f t="shared" si="71"/>
        <v>1327.3270544819998</v>
      </c>
      <c r="R54" s="148">
        <f t="shared" si="71"/>
        <v>1282.5394544819997</v>
      </c>
      <c r="S54" s="148">
        <f t="shared" si="71"/>
        <v>1237.7518544819998</v>
      </c>
      <c r="T54" s="148">
        <f t="shared" si="71"/>
        <v>1192.9642544819997</v>
      </c>
      <c r="U54" s="148">
        <f t="shared" si="71"/>
        <v>1148.1766544819998</v>
      </c>
      <c r="V54" s="148">
        <f t="shared" si="71"/>
        <v>1103.3890544819997</v>
      </c>
      <c r="W54" s="148">
        <f t="shared" si="71"/>
        <v>1058.6014544819996</v>
      </c>
      <c r="X54" s="148">
        <f t="shared" si="71"/>
        <v>1013.8138544819997</v>
      </c>
      <c r="Y54" s="148">
        <f t="shared" si="71"/>
        <v>969.02625448199956</v>
      </c>
      <c r="Z54" s="148">
        <f t="shared" si="71"/>
        <v>924.23865448199956</v>
      </c>
      <c r="AA54" s="148">
        <f t="shared" si="71"/>
        <v>879.45105448199968</v>
      </c>
      <c r="AB54" s="148">
        <f t="shared" si="71"/>
        <v>834.66345448199957</v>
      </c>
      <c r="AC54" s="148">
        <f t="shared" si="71"/>
        <v>789.87585448199957</v>
      </c>
      <c r="AD54" s="148">
        <f t="shared" si="71"/>
        <v>745.08825448199957</v>
      </c>
      <c r="AE54" s="148">
        <f t="shared" si="71"/>
        <v>700.30065448199946</v>
      </c>
      <c r="AF54" s="148">
        <f t="shared" si="71"/>
        <v>655.51305448199957</v>
      </c>
      <c r="AG54" s="148">
        <f t="shared" si="71"/>
        <v>610.72545448199946</v>
      </c>
      <c r="AH54" s="148">
        <f t="shared" si="71"/>
        <v>565.93785448199947</v>
      </c>
      <c r="AI54" s="148">
        <f t="shared" si="71"/>
        <v>521.15025448199947</v>
      </c>
      <c r="AJ54" s="148">
        <f t="shared" si="71"/>
        <v>476.36265448199947</v>
      </c>
      <c r="AK54" s="148">
        <f t="shared" si="71"/>
        <v>431.57505448199942</v>
      </c>
      <c r="AL54" s="148">
        <f t="shared" si="71"/>
        <v>386.78745448199936</v>
      </c>
      <c r="AM54" s="148">
        <f t="shared" si="71"/>
        <v>341.99985448199942</v>
      </c>
      <c r="AN54" s="101">
        <f>(AM54-D54)/D54</f>
        <v>-0.76750994354990199</v>
      </c>
      <c r="AO54" s="193">
        <f>(1175.2-AM54)/1175.2</f>
        <v>0.70898582838495627</v>
      </c>
      <c r="AP54" s="103">
        <f t="shared" si="64"/>
        <v>38225.154938561987</v>
      </c>
      <c r="AQ54" s="152"/>
      <c r="AR54" s="191">
        <f>SUM(N54:AM54)</f>
        <v>23447.966216531993</v>
      </c>
      <c r="AS54" s="27"/>
      <c r="AT54" s="191">
        <f>AR54/2.1</f>
        <v>11165.698198348568</v>
      </c>
      <c r="AV54" s="193">
        <f t="shared" ref="AV54" si="72">((M54-AM54)/M54)/26</f>
        <v>2.9478749968718961E-2</v>
      </c>
    </row>
    <row r="55" spans="1:48" s="7" customFormat="1" x14ac:dyDescent="0.3">
      <c r="A55" s="27"/>
      <c r="B55" s="15"/>
      <c r="C55" s="27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O55" s="77"/>
      <c r="AP55" s="62"/>
      <c r="AR55" s="110"/>
      <c r="AS55" s="27"/>
      <c r="AT55" s="76"/>
      <c r="AV55" s="77"/>
    </row>
    <row r="56" spans="1:48" s="7" customFormat="1" x14ac:dyDescent="0.3">
      <c r="A56" s="27"/>
      <c r="B56" s="15" t="s">
        <v>83</v>
      </c>
      <c r="C56" s="27" t="s">
        <v>12</v>
      </c>
      <c r="D56" s="22">
        <f t="shared" ref="D56:AM56" si="73">D57-D28</f>
        <v>700.49049000000002</v>
      </c>
      <c r="E56" s="22">
        <f t="shared" si="73"/>
        <v>710.884719047619</v>
      </c>
      <c r="F56" s="22">
        <f t="shared" si="73"/>
        <v>713.2623000000001</v>
      </c>
      <c r="G56" s="22">
        <f t="shared" si="73"/>
        <v>719.71191428571422</v>
      </c>
      <c r="H56" s="22">
        <f t="shared" si="73"/>
        <v>710.02900619047614</v>
      </c>
      <c r="I56" s="22">
        <f t="shared" si="73"/>
        <v>698.47826424952382</v>
      </c>
      <c r="J56" s="22">
        <f t="shared" si="73"/>
        <v>694.82314725523815</v>
      </c>
      <c r="K56" s="22">
        <f t="shared" si="73"/>
        <v>695.54578045523817</v>
      </c>
      <c r="L56" s="22">
        <f t="shared" si="73"/>
        <v>696.22699615619058</v>
      </c>
      <c r="M56" s="22">
        <f t="shared" si="73"/>
        <v>697.30391666000014</v>
      </c>
      <c r="N56" s="22">
        <f t="shared" si="73"/>
        <v>732.82106366228572</v>
      </c>
      <c r="O56" s="22">
        <f t="shared" si="73"/>
        <v>748.62037794799983</v>
      </c>
      <c r="P56" s="22">
        <f t="shared" si="73"/>
        <v>764.41969223371416</v>
      </c>
      <c r="Q56" s="22">
        <f t="shared" si="73"/>
        <v>780.21900651942838</v>
      </c>
      <c r="R56" s="22">
        <f t="shared" si="73"/>
        <v>796.01832080514259</v>
      </c>
      <c r="S56" s="22">
        <f t="shared" si="73"/>
        <v>811.81763509085704</v>
      </c>
      <c r="T56" s="22">
        <f t="shared" si="73"/>
        <v>827.61694937657114</v>
      </c>
      <c r="U56" s="22">
        <f t="shared" si="73"/>
        <v>843.4162636622857</v>
      </c>
      <c r="V56" s="22">
        <f t="shared" si="73"/>
        <v>859.21557794799992</v>
      </c>
      <c r="W56" s="22">
        <f t="shared" si="73"/>
        <v>875.01489223371402</v>
      </c>
      <c r="X56" s="22">
        <f t="shared" si="73"/>
        <v>939.09105673285706</v>
      </c>
      <c r="Y56" s="22">
        <f t="shared" si="73"/>
        <v>957.38084720904737</v>
      </c>
      <c r="Z56" s="22">
        <f t="shared" si="73"/>
        <v>975.67063768523769</v>
      </c>
      <c r="AA56" s="22">
        <f t="shared" si="73"/>
        <v>993.96042816142835</v>
      </c>
      <c r="AB56" s="22">
        <f t="shared" si="73"/>
        <v>1012.2502186376187</v>
      </c>
      <c r="AC56" s="22">
        <f t="shared" si="73"/>
        <v>1030.519333875714</v>
      </c>
      <c r="AD56" s="22">
        <f t="shared" si="73"/>
        <v>974.79278528434224</v>
      </c>
      <c r="AE56" s="22">
        <f t="shared" si="73"/>
        <v>919.53230459139922</v>
      </c>
      <c r="AF56" s="22">
        <f t="shared" si="73"/>
        <v>863.84527532702793</v>
      </c>
      <c r="AG56" s="22">
        <f t="shared" si="73"/>
        <v>807.73169749122781</v>
      </c>
      <c r="AH56" s="22">
        <f t="shared" si="73"/>
        <v>751.19157108399941</v>
      </c>
      <c r="AI56" s="22">
        <f t="shared" si="73"/>
        <v>691.74322822685644</v>
      </c>
      <c r="AJ56" s="22">
        <f t="shared" si="73"/>
        <v>632.29488536971348</v>
      </c>
      <c r="AK56" s="22">
        <f t="shared" si="73"/>
        <v>572.84654251257064</v>
      </c>
      <c r="AL56" s="22">
        <f t="shared" si="73"/>
        <v>513.39819965542767</v>
      </c>
      <c r="AM56" s="22">
        <f t="shared" si="73"/>
        <v>453.94985679828494</v>
      </c>
      <c r="AO56" s="77"/>
      <c r="AP56" s="62">
        <f t="shared" si="64"/>
        <v>28166.135182422753</v>
      </c>
      <c r="AR56" s="110"/>
      <c r="AS56" s="27"/>
      <c r="AT56" s="76"/>
      <c r="AV56" s="77"/>
    </row>
    <row r="57" spans="1:48" x14ac:dyDescent="0.3">
      <c r="B57" t="s">
        <v>11</v>
      </c>
      <c r="C57" s="27" t="s">
        <v>12</v>
      </c>
      <c r="D57" s="1">
        <f t="shared" ref="D57:AM57" si="74">D59+D17</f>
        <v>1095.8451774666667</v>
      </c>
      <c r="E57" s="1">
        <f t="shared" si="74"/>
        <v>1064.852980647619</v>
      </c>
      <c r="F57" s="1">
        <f t="shared" si="74"/>
        <v>1072.2699170666667</v>
      </c>
      <c r="G57" s="1">
        <f t="shared" si="74"/>
        <v>1077.4041668190475</v>
      </c>
      <c r="H57" s="1">
        <f t="shared" si="74"/>
        <v>1088.9912131238095</v>
      </c>
      <c r="I57" s="1">
        <f t="shared" si="74"/>
        <v>1089.1865975828571</v>
      </c>
      <c r="J57" s="1">
        <f t="shared" si="74"/>
        <v>1082.2222683219047</v>
      </c>
      <c r="K57" s="1">
        <f t="shared" si="74"/>
        <v>1086.0126423219049</v>
      </c>
      <c r="L57" s="1">
        <f t="shared" si="74"/>
        <v>1088.7780052228572</v>
      </c>
      <c r="M57" s="1">
        <f t="shared" si="74"/>
        <v>1094.1696718600001</v>
      </c>
      <c r="N57" s="1">
        <f t="shared" si="74"/>
        <v>1097.1028188622856</v>
      </c>
      <c r="O57" s="1">
        <f t="shared" si="74"/>
        <v>1080.3181331479998</v>
      </c>
      <c r="P57" s="1">
        <f t="shared" si="74"/>
        <v>1063.5334474337142</v>
      </c>
      <c r="Q57" s="1">
        <f t="shared" si="74"/>
        <v>1046.7487617194283</v>
      </c>
      <c r="R57" s="1">
        <f t="shared" si="74"/>
        <v>1029.9640760051425</v>
      </c>
      <c r="S57" s="1">
        <f t="shared" si="74"/>
        <v>1013.179390290857</v>
      </c>
      <c r="T57" s="1">
        <f t="shared" si="74"/>
        <v>996.39470457657103</v>
      </c>
      <c r="U57" s="1">
        <f t="shared" si="74"/>
        <v>979.61001886228564</v>
      </c>
      <c r="V57" s="1">
        <f t="shared" si="74"/>
        <v>962.8253331479998</v>
      </c>
      <c r="W57" s="1">
        <f t="shared" si="74"/>
        <v>946.04064743371396</v>
      </c>
      <c r="X57" s="1">
        <f t="shared" si="74"/>
        <v>977.53281193285693</v>
      </c>
      <c r="Y57" s="1">
        <f t="shared" si="74"/>
        <v>988.13193574238062</v>
      </c>
      <c r="Z57" s="1">
        <f t="shared" si="74"/>
        <v>998.73105955190431</v>
      </c>
      <c r="AA57" s="1">
        <f t="shared" si="74"/>
        <v>1009.3301833614282</v>
      </c>
      <c r="AB57" s="1">
        <f t="shared" si="74"/>
        <v>1019.9293071709519</v>
      </c>
      <c r="AC57" s="1">
        <f t="shared" si="74"/>
        <v>1030.519333875714</v>
      </c>
      <c r="AD57" s="1">
        <f t="shared" si="74"/>
        <v>974.79278528434224</v>
      </c>
      <c r="AE57" s="1">
        <f t="shared" si="74"/>
        <v>919.53230459139922</v>
      </c>
      <c r="AF57" s="1">
        <f t="shared" si="74"/>
        <v>863.84527532702793</v>
      </c>
      <c r="AG57" s="1">
        <f t="shared" si="74"/>
        <v>807.73169749122781</v>
      </c>
      <c r="AH57" s="1">
        <f t="shared" si="74"/>
        <v>751.19157108399941</v>
      </c>
      <c r="AI57" s="1">
        <f t="shared" si="74"/>
        <v>691.74322822685644</v>
      </c>
      <c r="AJ57" s="1">
        <f t="shared" si="74"/>
        <v>632.29488536971348</v>
      </c>
      <c r="AK57" s="1">
        <f t="shared" si="74"/>
        <v>572.84654251257064</v>
      </c>
      <c r="AL57" s="1">
        <f t="shared" si="74"/>
        <v>513.39819965542767</v>
      </c>
      <c r="AM57" s="1">
        <f t="shared" si="74"/>
        <v>453.94985679828494</v>
      </c>
      <c r="AP57" s="62">
        <f t="shared" si="64"/>
        <v>34260.950949889419</v>
      </c>
      <c r="AR57" s="110">
        <f t="shared" ref="AR57" si="75">SUM(N57:AM57)</f>
        <v>23421.218309456082</v>
      </c>
    </row>
    <row r="58" spans="1:48" x14ac:dyDescent="0.3">
      <c r="B58" s="15" t="s">
        <v>37</v>
      </c>
      <c r="C58" s="27" t="s">
        <v>12</v>
      </c>
      <c r="D58" s="1">
        <f t="shared" ref="D58:AM58" si="76">D62+D23</f>
        <v>1095.8451774666667</v>
      </c>
      <c r="E58" s="1">
        <f t="shared" si="76"/>
        <v>1064.852980647619</v>
      </c>
      <c r="F58" s="1">
        <f t="shared" si="76"/>
        <v>1072.2699170666667</v>
      </c>
      <c r="G58" s="1">
        <f t="shared" si="76"/>
        <v>1077.4041668190475</v>
      </c>
      <c r="H58" s="1">
        <f t="shared" si="76"/>
        <v>1088.9912131238095</v>
      </c>
      <c r="I58" s="1">
        <f t="shared" si="76"/>
        <v>1089.1865975828571</v>
      </c>
      <c r="J58" s="1">
        <f t="shared" si="76"/>
        <v>1082.2222683219047</v>
      </c>
      <c r="K58" s="1">
        <f t="shared" si="76"/>
        <v>1086.0126423219049</v>
      </c>
      <c r="L58" s="1">
        <f t="shared" si="76"/>
        <v>1088.7780052228572</v>
      </c>
      <c r="M58" s="1">
        <f t="shared" si="76"/>
        <v>1094.1696718600001</v>
      </c>
      <c r="N58" s="1">
        <f t="shared" si="76"/>
        <v>1080.9203775042513</v>
      </c>
      <c r="O58" s="1">
        <f t="shared" si="76"/>
        <v>1047.7999249328227</v>
      </c>
      <c r="P58" s="1">
        <f t="shared" si="76"/>
        <v>1014.6794723613941</v>
      </c>
      <c r="Q58" s="1">
        <f t="shared" si="76"/>
        <v>981.55901978996553</v>
      </c>
      <c r="R58" s="1">
        <f t="shared" si="76"/>
        <v>948.43856721853683</v>
      </c>
      <c r="S58" s="1">
        <f t="shared" si="76"/>
        <v>915.31811464710836</v>
      </c>
      <c r="T58" s="1">
        <f t="shared" si="76"/>
        <v>882.19766207567966</v>
      </c>
      <c r="U58" s="1">
        <f t="shared" si="76"/>
        <v>849.0772095042513</v>
      </c>
      <c r="V58" s="1">
        <f t="shared" si="76"/>
        <v>815.9567569328226</v>
      </c>
      <c r="W58" s="1">
        <f t="shared" si="76"/>
        <v>782.83630436139401</v>
      </c>
      <c r="X58" s="1">
        <f t="shared" si="76"/>
        <v>749.71585178996543</v>
      </c>
      <c r="Y58" s="1">
        <f t="shared" si="76"/>
        <v>716.59539921853684</v>
      </c>
      <c r="Z58" s="1">
        <f t="shared" si="76"/>
        <v>683.47494664710825</v>
      </c>
      <c r="AA58" s="1">
        <f t="shared" si="76"/>
        <v>650.35449407567978</v>
      </c>
      <c r="AB58" s="1">
        <f t="shared" si="76"/>
        <v>617.23404150425108</v>
      </c>
      <c r="AC58" s="1">
        <f t="shared" si="76"/>
        <v>584.11358893282249</v>
      </c>
      <c r="AD58" s="1">
        <f t="shared" si="76"/>
        <v>550.99313636139391</v>
      </c>
      <c r="AE58" s="1">
        <f t="shared" si="76"/>
        <v>517.87268378996532</v>
      </c>
      <c r="AF58" s="1">
        <f t="shared" si="76"/>
        <v>484.75223121853679</v>
      </c>
      <c r="AG58" s="1">
        <f t="shared" si="76"/>
        <v>451.63177864710815</v>
      </c>
      <c r="AH58" s="1">
        <f t="shared" si="76"/>
        <v>418.51132607567968</v>
      </c>
      <c r="AI58" s="1">
        <f t="shared" si="76"/>
        <v>385.39087350425109</v>
      </c>
      <c r="AJ58" s="1">
        <f t="shared" si="76"/>
        <v>352.27042093282245</v>
      </c>
      <c r="AK58" s="1">
        <f t="shared" si="76"/>
        <v>319.14996836139386</v>
      </c>
      <c r="AL58" s="1">
        <f t="shared" si="76"/>
        <v>286.02951578996522</v>
      </c>
      <c r="AM58" s="1">
        <f t="shared" si="76"/>
        <v>252.90906321853672</v>
      </c>
      <c r="AP58" s="62">
        <f t="shared" si="64"/>
        <v>28179.515369829576</v>
      </c>
      <c r="AR58" s="110">
        <f>SUM(N58:AM58)</f>
        <v>17339.78272939624</v>
      </c>
    </row>
    <row r="59" spans="1:48" s="7" customFormat="1" ht="28.8" x14ac:dyDescent="0.3">
      <c r="A59" s="27"/>
      <c r="B59" s="15" t="s">
        <v>82</v>
      </c>
      <c r="C59" s="27" t="s">
        <v>12</v>
      </c>
      <c r="D59" s="22">
        <f t="shared" ref="D59:AM59" si="77">D60+D31</f>
        <v>1095.8451774666667</v>
      </c>
      <c r="E59" s="22">
        <f t="shared" si="77"/>
        <v>1064.852980647619</v>
      </c>
      <c r="F59" s="22">
        <f t="shared" si="77"/>
        <v>1072.2699170666667</v>
      </c>
      <c r="G59" s="22">
        <f t="shared" si="77"/>
        <v>1077.4041668190475</v>
      </c>
      <c r="H59" s="22">
        <f t="shared" si="77"/>
        <v>1088.9912131238095</v>
      </c>
      <c r="I59" s="22">
        <f t="shared" si="77"/>
        <v>1089.1865975828571</v>
      </c>
      <c r="J59" s="22">
        <f t="shared" si="77"/>
        <v>1082.2222683219047</v>
      </c>
      <c r="K59" s="22">
        <f t="shared" si="77"/>
        <v>1086.0126423219049</v>
      </c>
      <c r="L59" s="22">
        <f t="shared" si="77"/>
        <v>1088.7780052228572</v>
      </c>
      <c r="M59" s="22">
        <f t="shared" si="77"/>
        <v>1094.1696718600001</v>
      </c>
      <c r="N59" s="22">
        <f t="shared" si="77"/>
        <v>1097.1028188622856</v>
      </c>
      <c r="O59" s="22">
        <f t="shared" si="77"/>
        <v>1080.3181331479998</v>
      </c>
      <c r="P59" s="22">
        <f t="shared" si="77"/>
        <v>1063.5334474337142</v>
      </c>
      <c r="Q59" s="22">
        <f t="shared" si="77"/>
        <v>1046.7487617194283</v>
      </c>
      <c r="R59" s="22">
        <f t="shared" si="77"/>
        <v>1029.9640760051425</v>
      </c>
      <c r="S59" s="22">
        <f t="shared" si="77"/>
        <v>1013.179390290857</v>
      </c>
      <c r="T59" s="22">
        <f t="shared" si="77"/>
        <v>996.39470457657103</v>
      </c>
      <c r="U59" s="22">
        <f t="shared" si="77"/>
        <v>979.61001886228564</v>
      </c>
      <c r="V59" s="22">
        <f t="shared" si="77"/>
        <v>962.8253331479998</v>
      </c>
      <c r="W59" s="22">
        <f t="shared" si="77"/>
        <v>946.04064743371396</v>
      </c>
      <c r="X59" s="22">
        <f t="shared" si="77"/>
        <v>929.25596171942834</v>
      </c>
      <c r="Y59" s="22">
        <f t="shared" si="77"/>
        <v>892.91222838609497</v>
      </c>
      <c r="Z59" s="22">
        <f t="shared" si="77"/>
        <v>856.56849505276148</v>
      </c>
      <c r="AA59" s="22">
        <f t="shared" si="77"/>
        <v>820.22476171942822</v>
      </c>
      <c r="AB59" s="22">
        <f t="shared" si="77"/>
        <v>783.88102838609484</v>
      </c>
      <c r="AC59" s="22">
        <f t="shared" si="77"/>
        <v>747.52819794799962</v>
      </c>
      <c r="AD59" s="22">
        <f t="shared" si="77"/>
        <v>705.14179794799952</v>
      </c>
      <c r="AE59" s="22">
        <f t="shared" si="77"/>
        <v>662.75539794799943</v>
      </c>
      <c r="AF59" s="22">
        <f t="shared" si="77"/>
        <v>620.36899794799956</v>
      </c>
      <c r="AG59" s="22">
        <f t="shared" si="77"/>
        <v>577.98259794799947</v>
      </c>
      <c r="AH59" s="22">
        <f t="shared" si="77"/>
        <v>535.5961979479996</v>
      </c>
      <c r="AI59" s="22">
        <f t="shared" si="77"/>
        <v>493.2097979479995</v>
      </c>
      <c r="AJ59" s="22">
        <f t="shared" si="77"/>
        <v>450.82339794799947</v>
      </c>
      <c r="AK59" s="22">
        <f t="shared" si="77"/>
        <v>408.43699794799943</v>
      </c>
      <c r="AL59" s="22">
        <f t="shared" si="77"/>
        <v>366.05059794799934</v>
      </c>
      <c r="AM59" s="22">
        <f t="shared" si="77"/>
        <v>323.66419794799947</v>
      </c>
      <c r="AO59" s="77"/>
      <c r="AP59" s="62">
        <f t="shared" si="64"/>
        <v>31229.850624605133</v>
      </c>
      <c r="AR59" s="110">
        <f>SUM(N59:AM59)</f>
        <v>20390.1179841718</v>
      </c>
      <c r="AS59" s="27"/>
      <c r="AT59" s="76"/>
      <c r="AV59" s="77"/>
    </row>
    <row r="60" spans="1:48" s="7" customFormat="1" x14ac:dyDescent="0.3">
      <c r="A60" s="27"/>
      <c r="B60" s="15" t="s">
        <v>84</v>
      </c>
      <c r="C60" s="27" t="s">
        <v>12</v>
      </c>
      <c r="D60" s="22">
        <f t="shared" ref="D60:AM60" si="78">D62+D28</f>
        <v>1095.8451774666667</v>
      </c>
      <c r="E60" s="22">
        <f t="shared" si="78"/>
        <v>1064.852980647619</v>
      </c>
      <c r="F60" s="22">
        <f t="shared" si="78"/>
        <v>1072.2699170666667</v>
      </c>
      <c r="G60" s="22">
        <f t="shared" si="78"/>
        <v>1077.4041668190475</v>
      </c>
      <c r="H60" s="22">
        <f t="shared" si="78"/>
        <v>1088.9912131238095</v>
      </c>
      <c r="I60" s="22">
        <f t="shared" si="78"/>
        <v>1089.1865975828571</v>
      </c>
      <c r="J60" s="22">
        <f t="shared" si="78"/>
        <v>1082.2222683219047</v>
      </c>
      <c r="K60" s="22">
        <f t="shared" si="78"/>
        <v>1086.0126423219049</v>
      </c>
      <c r="L60" s="22">
        <f t="shared" si="78"/>
        <v>1088.7780052228572</v>
      </c>
      <c r="M60" s="22">
        <f t="shared" si="78"/>
        <v>1094.1696718600001</v>
      </c>
      <c r="N60" s="22">
        <f t="shared" si="78"/>
        <v>1060.3245430485713</v>
      </c>
      <c r="O60" s="22">
        <f t="shared" si="78"/>
        <v>1006.4131144771427</v>
      </c>
      <c r="P60" s="22">
        <f t="shared" si="78"/>
        <v>952.50168590571411</v>
      </c>
      <c r="Q60" s="22">
        <f t="shared" si="78"/>
        <v>898.59025733428552</v>
      </c>
      <c r="R60" s="22">
        <f t="shared" si="78"/>
        <v>844.67882876285682</v>
      </c>
      <c r="S60" s="22">
        <f t="shared" si="78"/>
        <v>790.76740019142835</v>
      </c>
      <c r="T60" s="22">
        <f t="shared" si="78"/>
        <v>736.85597161999965</v>
      </c>
      <c r="U60" s="22">
        <f t="shared" si="78"/>
        <v>682.94454304857118</v>
      </c>
      <c r="V60" s="22">
        <f t="shared" si="78"/>
        <v>629.03311447714259</v>
      </c>
      <c r="W60" s="22">
        <f t="shared" si="78"/>
        <v>575.121685905714</v>
      </c>
      <c r="X60" s="22">
        <f t="shared" si="78"/>
        <v>521.21025733428542</v>
      </c>
      <c r="Y60" s="22">
        <f t="shared" si="78"/>
        <v>492.19216209619015</v>
      </c>
      <c r="Z60" s="22">
        <f t="shared" si="78"/>
        <v>463.17406685809487</v>
      </c>
      <c r="AA60" s="22">
        <f t="shared" si="78"/>
        <v>434.15597161999972</v>
      </c>
      <c r="AB60" s="22">
        <f t="shared" si="78"/>
        <v>405.13787638190445</v>
      </c>
      <c r="AC60" s="22">
        <f t="shared" si="78"/>
        <v>376.13135927714262</v>
      </c>
      <c r="AD60" s="22">
        <f t="shared" si="78"/>
        <v>354.80393070571404</v>
      </c>
      <c r="AE60" s="22">
        <f t="shared" si="78"/>
        <v>333.47650213428545</v>
      </c>
      <c r="AF60" s="22">
        <f t="shared" si="78"/>
        <v>312.14907356285693</v>
      </c>
      <c r="AG60" s="22">
        <f t="shared" si="78"/>
        <v>290.82164499142829</v>
      </c>
      <c r="AH60" s="22">
        <f t="shared" si="78"/>
        <v>269.49421641999976</v>
      </c>
      <c r="AI60" s="22">
        <f t="shared" si="78"/>
        <v>248.16678784857118</v>
      </c>
      <c r="AJ60" s="22">
        <f t="shared" si="78"/>
        <v>226.83935927714259</v>
      </c>
      <c r="AK60" s="22">
        <f t="shared" si="78"/>
        <v>205.51193070571401</v>
      </c>
      <c r="AL60" s="22">
        <f t="shared" si="78"/>
        <v>184.1845021342854</v>
      </c>
      <c r="AM60" s="22">
        <f t="shared" si="78"/>
        <v>162.85707356285687</v>
      </c>
      <c r="AO60" s="39"/>
      <c r="AP60" s="62">
        <f t="shared" si="64"/>
        <v>24297.270500115239</v>
      </c>
      <c r="AR60" s="110">
        <f>SUM(N60:AM60)</f>
        <v>13457.537859681897</v>
      </c>
      <c r="AS60" s="27"/>
      <c r="AT60" s="76"/>
      <c r="AV60" s="77"/>
    </row>
    <row r="61" spans="1:48" s="7" customFormat="1" x14ac:dyDescent="0.3">
      <c r="A61" s="27"/>
      <c r="B61" t="s">
        <v>25</v>
      </c>
      <c r="C61" s="27" t="s">
        <v>12</v>
      </c>
      <c r="D61" s="22">
        <f t="shared" ref="D61:AM62" si="79">D53/2.1</f>
        <v>700.49049000000002</v>
      </c>
      <c r="E61" s="22">
        <f t="shared" si="79"/>
        <v>710.884719047619</v>
      </c>
      <c r="F61" s="22">
        <f t="shared" si="79"/>
        <v>713.26229999999998</v>
      </c>
      <c r="G61" s="22">
        <f t="shared" si="79"/>
        <v>719.71191428571422</v>
      </c>
      <c r="H61" s="22">
        <f t="shared" si="79"/>
        <v>710.02900619047614</v>
      </c>
      <c r="I61" s="22">
        <f t="shared" si="79"/>
        <v>698.15545952380955</v>
      </c>
      <c r="J61" s="22">
        <f t="shared" si="79"/>
        <v>693.79586333333327</v>
      </c>
      <c r="K61" s="22">
        <f t="shared" si="79"/>
        <v>694.85642190476187</v>
      </c>
      <c r="L61" s="22">
        <f t="shared" si="79"/>
        <v>700.48304952380954</v>
      </c>
      <c r="M61" s="22">
        <f t="shared" si="79"/>
        <v>706.1879766666666</v>
      </c>
      <c r="N61" s="22">
        <f t="shared" si="79"/>
        <v>715.61163047619038</v>
      </c>
      <c r="O61" s="22">
        <f t="shared" si="79"/>
        <v>723.03327285714283</v>
      </c>
      <c r="P61" s="22">
        <f t="shared" si="79"/>
        <v>724.22037761904755</v>
      </c>
      <c r="Q61" s="22">
        <f t="shared" si="79"/>
        <v>726.7108442857143</v>
      </c>
      <c r="R61" s="22">
        <f t="shared" si="79"/>
        <v>728.05396666666672</v>
      </c>
      <c r="S61" s="22">
        <f t="shared" si="79"/>
        <v>728.70157857142851</v>
      </c>
      <c r="T61" s="22">
        <f t="shared" si="79"/>
        <v>731.24290809523802</v>
      </c>
      <c r="U61" s="22">
        <f t="shared" si="79"/>
        <v>736.1893138095237</v>
      </c>
      <c r="V61" s="22">
        <f t="shared" si="79"/>
        <v>741.10089999999991</v>
      </c>
      <c r="W61" s="22">
        <f t="shared" si="79"/>
        <v>750.1603771428571</v>
      </c>
      <c r="X61" s="22">
        <f t="shared" si="79"/>
        <v>761.1653647619047</v>
      </c>
      <c r="Y61" s="22">
        <f t="shared" si="79"/>
        <v>769.44213857142859</v>
      </c>
      <c r="Z61" s="22">
        <f t="shared" si="79"/>
        <v>776.7532785714285</v>
      </c>
      <c r="AA61" s="22">
        <f t="shared" si="79"/>
        <v>784.25083714285711</v>
      </c>
      <c r="AB61" s="22">
        <f t="shared" si="79"/>
        <v>793.83858809523804</v>
      </c>
      <c r="AC61" s="22">
        <f t="shared" si="79"/>
        <v>799.11179333333325</v>
      </c>
      <c r="AD61" s="22">
        <f t="shared" si="79"/>
        <v>804.63483523809521</v>
      </c>
      <c r="AE61" s="22">
        <f t="shared" si="79"/>
        <v>808.61025857142852</v>
      </c>
      <c r="AF61" s="22">
        <f t="shared" si="79"/>
        <v>813.97449333333327</v>
      </c>
      <c r="AG61" s="22">
        <f t="shared" si="79"/>
        <v>821.67614142857133</v>
      </c>
      <c r="AH61" s="22">
        <f t="shared" si="79"/>
        <v>829.49055999999996</v>
      </c>
      <c r="AI61" s="22">
        <f t="shared" si="79"/>
        <v>836.27766904761904</v>
      </c>
      <c r="AJ61" s="22">
        <f t="shared" si="79"/>
        <v>843.21370428571424</v>
      </c>
      <c r="AK61" s="22">
        <f t="shared" si="79"/>
        <v>848.59032047619041</v>
      </c>
      <c r="AL61" s="22">
        <f t="shared" si="79"/>
        <v>854.07023095238094</v>
      </c>
      <c r="AM61" s="22">
        <f t="shared" si="79"/>
        <v>861.65312285714276</v>
      </c>
      <c r="AO61" s="39"/>
      <c r="AP61" s="62">
        <f t="shared" si="64"/>
        <v>27359.635706666664</v>
      </c>
      <c r="AR61" s="94">
        <f t="shared" ref="AR61" si="80">SUM(N61:AM61)</f>
        <v>20311.778506190476</v>
      </c>
      <c r="AS61" s="27"/>
      <c r="AT61" s="76"/>
      <c r="AV61" s="77"/>
    </row>
    <row r="62" spans="1:48" x14ac:dyDescent="0.3">
      <c r="B62" s="15" t="s">
        <v>36</v>
      </c>
      <c r="C62" s="27" t="s">
        <v>12</v>
      </c>
      <c r="D62" s="1">
        <f t="shared" si="79"/>
        <v>700.49049000000002</v>
      </c>
      <c r="E62" s="1">
        <f t="shared" si="79"/>
        <v>710.884719047619</v>
      </c>
      <c r="F62" s="1">
        <f t="shared" si="79"/>
        <v>713.26229999999998</v>
      </c>
      <c r="G62" s="1">
        <f t="shared" si="79"/>
        <v>719.71191428571422</v>
      </c>
      <c r="H62" s="1">
        <f t="shared" si="79"/>
        <v>710.02900619047614</v>
      </c>
      <c r="I62" s="1">
        <f t="shared" si="79"/>
        <v>698.47826424952382</v>
      </c>
      <c r="J62" s="1">
        <f t="shared" si="79"/>
        <v>694.82314725523815</v>
      </c>
      <c r="K62" s="1">
        <f t="shared" si="79"/>
        <v>695.54578045523817</v>
      </c>
      <c r="L62" s="1">
        <f t="shared" si="79"/>
        <v>696.22699615619047</v>
      </c>
      <c r="M62" s="1">
        <f t="shared" si="79"/>
        <v>697.30391666000003</v>
      </c>
      <c r="N62" s="1">
        <f t="shared" si="79"/>
        <v>696.04278784857138</v>
      </c>
      <c r="O62" s="1">
        <f t="shared" si="79"/>
        <v>674.71535927714274</v>
      </c>
      <c r="P62" s="1">
        <f t="shared" si="79"/>
        <v>653.38793070571421</v>
      </c>
      <c r="Q62" s="1">
        <f t="shared" si="79"/>
        <v>632.06050213428557</v>
      </c>
      <c r="R62" s="1">
        <f t="shared" si="79"/>
        <v>610.73307356285693</v>
      </c>
      <c r="S62" s="1">
        <f t="shared" si="79"/>
        <v>589.4056449914284</v>
      </c>
      <c r="T62" s="1">
        <f t="shared" si="79"/>
        <v>568.07821641999976</v>
      </c>
      <c r="U62" s="1">
        <f t="shared" si="79"/>
        <v>546.75078784857135</v>
      </c>
      <c r="V62" s="1">
        <f t="shared" si="79"/>
        <v>525.42335927714271</v>
      </c>
      <c r="W62" s="1">
        <f t="shared" si="79"/>
        <v>504.09593070571407</v>
      </c>
      <c r="X62" s="1">
        <f t="shared" si="79"/>
        <v>482.76850213428554</v>
      </c>
      <c r="Y62" s="1">
        <f t="shared" si="79"/>
        <v>461.4410735628569</v>
      </c>
      <c r="Z62" s="1">
        <f t="shared" si="79"/>
        <v>440.11364499142832</v>
      </c>
      <c r="AA62" s="1">
        <f t="shared" si="79"/>
        <v>418.78621641999985</v>
      </c>
      <c r="AB62" s="1">
        <f t="shared" si="79"/>
        <v>397.45878784857121</v>
      </c>
      <c r="AC62" s="1">
        <f t="shared" si="79"/>
        <v>376.13135927714262</v>
      </c>
      <c r="AD62" s="1">
        <f t="shared" si="79"/>
        <v>354.80393070571404</v>
      </c>
      <c r="AE62" s="1">
        <f t="shared" si="79"/>
        <v>333.47650213428545</v>
      </c>
      <c r="AF62" s="1">
        <f t="shared" si="79"/>
        <v>312.14907356285693</v>
      </c>
      <c r="AG62" s="1">
        <f t="shared" si="79"/>
        <v>290.82164499142829</v>
      </c>
      <c r="AH62" s="1">
        <f t="shared" si="79"/>
        <v>269.49421641999976</v>
      </c>
      <c r="AI62" s="1">
        <f t="shared" si="79"/>
        <v>248.16678784857118</v>
      </c>
      <c r="AJ62" s="1">
        <f t="shared" si="79"/>
        <v>226.83935927714259</v>
      </c>
      <c r="AK62" s="1">
        <f t="shared" si="79"/>
        <v>205.51193070571401</v>
      </c>
      <c r="AL62" s="1">
        <f t="shared" si="79"/>
        <v>184.1845021342854</v>
      </c>
      <c r="AM62" s="1">
        <f t="shared" si="79"/>
        <v>162.85707356285687</v>
      </c>
      <c r="AO62" s="39"/>
      <c r="AP62" s="62">
        <f t="shared" si="64"/>
        <v>18202.454732648563</v>
      </c>
      <c r="AR62" s="94">
        <f>SUM(N62:AM62)</f>
        <v>11165.698198348566</v>
      </c>
    </row>
    <row r="63" spans="1:48" ht="27" customHeight="1" x14ac:dyDescent="0.3">
      <c r="B63" s="15"/>
      <c r="C63" s="2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O63" s="39"/>
      <c r="AP63" s="62"/>
      <c r="AR63" s="94"/>
    </row>
    <row r="64" spans="1:48" s="40" customFormat="1" x14ac:dyDescent="0.3">
      <c r="A64" s="59"/>
      <c r="B64" t="s">
        <v>25</v>
      </c>
      <c r="C64" s="27" t="s">
        <v>62</v>
      </c>
      <c r="D64" s="61">
        <f t="shared" ref="D64:AM64" si="81">D61*0.0392</f>
        <v>27.459227208000001</v>
      </c>
      <c r="E64" s="61">
        <f t="shared" si="81"/>
        <v>27.866680986666665</v>
      </c>
      <c r="F64" s="61">
        <f t="shared" si="81"/>
        <v>27.959882159999999</v>
      </c>
      <c r="G64" s="61">
        <f t="shared" si="81"/>
        <v>28.212707039999998</v>
      </c>
      <c r="H64" s="61">
        <f t="shared" si="81"/>
        <v>27.833137042666664</v>
      </c>
      <c r="I64" s="61">
        <f t="shared" si="81"/>
        <v>27.367694013333335</v>
      </c>
      <c r="J64" s="61">
        <f t="shared" si="81"/>
        <v>27.196797842666662</v>
      </c>
      <c r="K64" s="61">
        <f t="shared" si="81"/>
        <v>27.238371738666665</v>
      </c>
      <c r="L64" s="61">
        <f t="shared" si="81"/>
        <v>27.458935541333332</v>
      </c>
      <c r="M64" s="61">
        <f t="shared" si="81"/>
        <v>27.682568685333329</v>
      </c>
      <c r="N64" s="61">
        <f t="shared" si="81"/>
        <v>28.051975914666663</v>
      </c>
      <c r="O64" s="61">
        <f t="shared" si="81"/>
        <v>28.342904295999997</v>
      </c>
      <c r="P64" s="61">
        <f t="shared" si="81"/>
        <v>28.389438802666664</v>
      </c>
      <c r="Q64" s="61">
        <f t="shared" si="81"/>
        <v>28.487065095999998</v>
      </c>
      <c r="R64" s="61">
        <f t="shared" si="81"/>
        <v>28.539715493333336</v>
      </c>
      <c r="S64" s="61">
        <f t="shared" si="81"/>
        <v>28.565101879999997</v>
      </c>
      <c r="T64" s="61">
        <f t="shared" si="81"/>
        <v>28.664721997333331</v>
      </c>
      <c r="U64" s="61">
        <f t="shared" si="81"/>
        <v>28.858621101333327</v>
      </c>
      <c r="V64" s="61">
        <f t="shared" si="81"/>
        <v>29.051155279999996</v>
      </c>
      <c r="W64" s="61">
        <f t="shared" si="81"/>
        <v>29.406286783999999</v>
      </c>
      <c r="X64" s="61">
        <f t="shared" si="81"/>
        <v>29.837682298666664</v>
      </c>
      <c r="Y64" s="61">
        <f t="shared" si="81"/>
        <v>30.162131832</v>
      </c>
      <c r="Z64" s="61">
        <f t="shared" si="81"/>
        <v>30.448728519999996</v>
      </c>
      <c r="AA64" s="61">
        <f t="shared" si="81"/>
        <v>30.742632815999997</v>
      </c>
      <c r="AB64" s="61">
        <f t="shared" si="81"/>
        <v>31.118472653333331</v>
      </c>
      <c r="AC64" s="90">
        <f t="shared" si="81"/>
        <v>31.325182298666661</v>
      </c>
      <c r="AD64" s="61">
        <f t="shared" si="81"/>
        <v>31.541685541333329</v>
      </c>
      <c r="AE64" s="61">
        <f t="shared" si="81"/>
        <v>31.697522135999996</v>
      </c>
      <c r="AF64" s="61">
        <f t="shared" si="81"/>
        <v>31.907800138666662</v>
      </c>
      <c r="AG64" s="61">
        <f t="shared" si="81"/>
        <v>32.209704743999993</v>
      </c>
      <c r="AH64" s="61">
        <f t="shared" si="81"/>
        <v>32.516029951999997</v>
      </c>
      <c r="AI64" s="61">
        <f t="shared" si="81"/>
        <v>32.782084626666666</v>
      </c>
      <c r="AJ64" s="61">
        <f t="shared" si="81"/>
        <v>33.053977207999999</v>
      </c>
      <c r="AK64" s="61">
        <f t="shared" si="81"/>
        <v>33.26474056266666</v>
      </c>
      <c r="AL64" s="61">
        <f t="shared" si="81"/>
        <v>33.479553053333333</v>
      </c>
      <c r="AM64" s="61">
        <f t="shared" si="81"/>
        <v>33.776802415999995</v>
      </c>
      <c r="AO64" s="79"/>
      <c r="AP64" s="62">
        <f t="shared" si="64"/>
        <v>1072.4977197013332</v>
      </c>
      <c r="AR64" s="191">
        <f t="shared" ref="AR64:AR70" si="82">SUM(N64:AM64)</f>
        <v>796.22171744266666</v>
      </c>
      <c r="AS64" s="91"/>
      <c r="AT64" s="98"/>
      <c r="AV64" s="79"/>
    </row>
    <row r="65" spans="1:48" s="40" customFormat="1" x14ac:dyDescent="0.3">
      <c r="A65" s="59"/>
      <c r="B65" t="s">
        <v>24</v>
      </c>
      <c r="C65" s="27" t="s">
        <v>62</v>
      </c>
      <c r="D65" s="61">
        <f t="shared" ref="D65:AM65" si="83">D46*0.0392</f>
        <v>27.459227208000001</v>
      </c>
      <c r="E65" s="61">
        <f t="shared" si="83"/>
        <v>27.868209954666664</v>
      </c>
      <c r="F65" s="61">
        <f t="shared" si="83"/>
        <v>27.958829434666661</v>
      </c>
      <c r="G65" s="61">
        <f t="shared" si="83"/>
        <v>28.169932298666662</v>
      </c>
      <c r="H65" s="61">
        <f t="shared" si="83"/>
        <v>27.880788077333328</v>
      </c>
      <c r="I65" s="61">
        <f t="shared" si="83"/>
        <v>27.331180986666663</v>
      </c>
      <c r="J65" s="61">
        <f t="shared" si="83"/>
        <v>27.194851879999998</v>
      </c>
      <c r="K65" s="61">
        <f t="shared" si="83"/>
        <v>27.166161455999998</v>
      </c>
      <c r="L65" s="61">
        <f t="shared" si="83"/>
        <v>27.314180021333332</v>
      </c>
      <c r="M65" s="61">
        <f t="shared" si="83"/>
        <v>27.744880538666663</v>
      </c>
      <c r="N65" s="61">
        <f t="shared" si="83"/>
        <v>28.215922205333332</v>
      </c>
      <c r="O65" s="61">
        <f t="shared" si="83"/>
        <v>28.635491527999996</v>
      </c>
      <c r="P65" s="61">
        <f t="shared" si="83"/>
        <v>28.777920565333332</v>
      </c>
      <c r="Q65" s="61">
        <f t="shared" si="83"/>
        <v>29.01820833333333</v>
      </c>
      <c r="R65" s="61">
        <f t="shared" si="83"/>
        <v>29.271543615999999</v>
      </c>
      <c r="S65" s="61">
        <f t="shared" si="83"/>
        <v>29.44217772533333</v>
      </c>
      <c r="T65" s="61">
        <f t="shared" si="83"/>
        <v>29.411985680000001</v>
      </c>
      <c r="U65" s="61">
        <f t="shared" si="83"/>
        <v>29.63510840266666</v>
      </c>
      <c r="V65" s="61">
        <f t="shared" si="83"/>
        <v>29.787123706666662</v>
      </c>
      <c r="W65" s="61">
        <f t="shared" si="83"/>
        <v>30.202495773333332</v>
      </c>
      <c r="X65" s="61">
        <f t="shared" si="83"/>
        <v>30.681173170666668</v>
      </c>
      <c r="Y65" s="61">
        <f t="shared" si="83"/>
        <v>30.855653639999996</v>
      </c>
      <c r="Z65" s="61">
        <f t="shared" si="83"/>
        <v>31.197111007999997</v>
      </c>
      <c r="AA65" s="61">
        <f t="shared" si="83"/>
        <v>31.500854485333331</v>
      </c>
      <c r="AB65" s="61">
        <f t="shared" si="83"/>
        <v>31.769335938666664</v>
      </c>
      <c r="AC65" s="61">
        <f t="shared" si="83"/>
        <v>31.932528002666665</v>
      </c>
      <c r="AD65" s="61">
        <f t="shared" si="83"/>
        <v>32.199856453333332</v>
      </c>
      <c r="AE65" s="61">
        <f t="shared" si="83"/>
        <v>32.434144530666664</v>
      </c>
      <c r="AF65" s="61">
        <f t="shared" si="83"/>
        <v>32.621836594666661</v>
      </c>
      <c r="AG65" s="61">
        <f t="shared" si="83"/>
        <v>32.921861335999999</v>
      </c>
      <c r="AH65" s="61">
        <f t="shared" si="83"/>
        <v>33.245237629333332</v>
      </c>
      <c r="AI65" s="61">
        <f t="shared" si="83"/>
        <v>33.528245445333333</v>
      </c>
      <c r="AJ65" s="61">
        <f t="shared" si="83"/>
        <v>33.825576829333329</v>
      </c>
      <c r="AK65" s="61">
        <f t="shared" si="83"/>
        <v>34.033535162666659</v>
      </c>
      <c r="AL65" s="61">
        <f t="shared" si="83"/>
        <v>34.22042969333333</v>
      </c>
      <c r="AM65" s="61">
        <f t="shared" si="83"/>
        <v>34.677532885333328</v>
      </c>
      <c r="AO65" s="79"/>
      <c r="AP65" s="62">
        <f t="shared" ref="AP65" si="84">SUM(D65:AM65)</f>
        <v>1090.1311321973333</v>
      </c>
      <c r="AR65" s="191">
        <f t="shared" ref="AR65" si="85">SUM(N65:AM65)</f>
        <v>814.04289034133342</v>
      </c>
      <c r="AS65" s="91"/>
      <c r="AT65" s="98"/>
      <c r="AV65" s="79"/>
    </row>
    <row r="66" spans="1:48" s="40" customFormat="1" x14ac:dyDescent="0.3">
      <c r="A66" s="59"/>
      <c r="B66" s="15" t="s">
        <v>36</v>
      </c>
      <c r="C66" s="27" t="s">
        <v>62</v>
      </c>
      <c r="D66" s="61">
        <f t="shared" ref="D66:AM66" si="86">D62*0.0392</f>
        <v>27.459227208000001</v>
      </c>
      <c r="E66" s="61">
        <f t="shared" si="86"/>
        <v>27.866680986666665</v>
      </c>
      <c r="F66" s="61">
        <f t="shared" si="86"/>
        <v>27.959882159999999</v>
      </c>
      <c r="G66" s="61">
        <f t="shared" si="86"/>
        <v>28.212707039999998</v>
      </c>
      <c r="H66" s="61">
        <f t="shared" si="86"/>
        <v>27.833137042666664</v>
      </c>
      <c r="I66" s="61">
        <f t="shared" si="86"/>
        <v>27.380347958581332</v>
      </c>
      <c r="J66" s="61">
        <f t="shared" si="86"/>
        <v>27.237067372405335</v>
      </c>
      <c r="K66" s="61">
        <f t="shared" si="86"/>
        <v>27.265394593845336</v>
      </c>
      <c r="L66" s="61">
        <f t="shared" si="86"/>
        <v>27.292098249322667</v>
      </c>
      <c r="M66" s="61">
        <f t="shared" si="86"/>
        <v>27.334313533071999</v>
      </c>
      <c r="N66" s="61">
        <f t="shared" si="86"/>
        <v>27.284877283663999</v>
      </c>
      <c r="O66" s="61">
        <f t="shared" si="86"/>
        <v>26.448842083663994</v>
      </c>
      <c r="P66" s="61">
        <f t="shared" si="86"/>
        <v>25.612806883663996</v>
      </c>
      <c r="Q66" s="61">
        <f t="shared" si="86"/>
        <v>24.776771683663995</v>
      </c>
      <c r="R66" s="61">
        <f t="shared" si="86"/>
        <v>23.94073648366399</v>
      </c>
      <c r="S66" s="61">
        <f t="shared" si="86"/>
        <v>23.104701283663992</v>
      </c>
      <c r="T66" s="61">
        <f t="shared" si="86"/>
        <v>22.268666083663991</v>
      </c>
      <c r="U66" s="61">
        <f t="shared" si="86"/>
        <v>21.432630883663997</v>
      </c>
      <c r="V66" s="61">
        <f t="shared" si="86"/>
        <v>20.596595683663992</v>
      </c>
      <c r="W66" s="61">
        <f t="shared" si="86"/>
        <v>19.760560483663991</v>
      </c>
      <c r="X66" s="61">
        <f t="shared" si="86"/>
        <v>18.924525283663993</v>
      </c>
      <c r="Y66" s="61">
        <f t="shared" si="86"/>
        <v>18.088490083663991</v>
      </c>
      <c r="Z66" s="61">
        <f t="shared" si="86"/>
        <v>17.25245488366399</v>
      </c>
      <c r="AA66" s="61">
        <f t="shared" si="86"/>
        <v>16.416419683663992</v>
      </c>
      <c r="AB66" s="61">
        <f t="shared" si="86"/>
        <v>15.580384483663991</v>
      </c>
      <c r="AC66" s="61">
        <f t="shared" si="86"/>
        <v>14.74434928366399</v>
      </c>
      <c r="AD66" s="61">
        <f t="shared" si="86"/>
        <v>13.90831408366399</v>
      </c>
      <c r="AE66" s="61">
        <f t="shared" si="86"/>
        <v>13.072278883663989</v>
      </c>
      <c r="AF66" s="61">
        <f t="shared" si="86"/>
        <v>12.236243683663991</v>
      </c>
      <c r="AG66" s="61">
        <f t="shared" si="86"/>
        <v>11.400208483663988</v>
      </c>
      <c r="AH66" s="61">
        <f t="shared" si="86"/>
        <v>10.56417328366399</v>
      </c>
      <c r="AI66" s="61">
        <f t="shared" si="86"/>
        <v>9.728138083663989</v>
      </c>
      <c r="AJ66" s="61">
        <f t="shared" si="86"/>
        <v>8.8921028836639895</v>
      </c>
      <c r="AK66" s="61">
        <f t="shared" si="86"/>
        <v>8.0560676836639882</v>
      </c>
      <c r="AL66" s="61">
        <f t="shared" si="86"/>
        <v>7.2200324836639869</v>
      </c>
      <c r="AM66" s="61">
        <f t="shared" si="86"/>
        <v>6.3839972836639891</v>
      </c>
      <c r="AO66" s="79"/>
      <c r="AP66" s="62">
        <f t="shared" si="64"/>
        <v>713.5362255198238</v>
      </c>
      <c r="AR66" s="191">
        <f t="shared" si="82"/>
        <v>437.69536937526374</v>
      </c>
      <c r="AS66" s="91"/>
      <c r="AT66" s="98"/>
      <c r="AV66" s="79"/>
    </row>
    <row r="67" spans="1:48" s="44" customFormat="1" x14ac:dyDescent="0.3">
      <c r="A67" s="58"/>
      <c r="B67" s="173" t="s">
        <v>66</v>
      </c>
      <c r="C67" s="60" t="s">
        <v>62</v>
      </c>
      <c r="D67" s="72">
        <f t="shared" ref="D67:AM67" si="87">D31*0.0392</f>
        <v>0</v>
      </c>
      <c r="E67" s="72">
        <f t="shared" si="87"/>
        <v>0</v>
      </c>
      <c r="F67" s="72">
        <f t="shared" si="87"/>
        <v>0</v>
      </c>
      <c r="G67" s="72">
        <f t="shared" si="87"/>
        <v>0</v>
      </c>
      <c r="H67" s="72">
        <f t="shared" si="87"/>
        <v>0</v>
      </c>
      <c r="I67" s="72">
        <f t="shared" si="87"/>
        <v>0</v>
      </c>
      <c r="J67" s="72">
        <f t="shared" si="87"/>
        <v>0</v>
      </c>
      <c r="K67" s="72">
        <f t="shared" si="87"/>
        <v>0</v>
      </c>
      <c r="L67" s="72">
        <f t="shared" si="87"/>
        <v>0</v>
      </c>
      <c r="M67" s="72">
        <f t="shared" si="87"/>
        <v>0</v>
      </c>
      <c r="N67" s="72">
        <f t="shared" si="87"/>
        <v>1.4417084118975991</v>
      </c>
      <c r="O67" s="72">
        <f t="shared" si="87"/>
        <v>2.8970767318975983</v>
      </c>
      <c r="P67" s="72">
        <f t="shared" si="87"/>
        <v>4.3524450518976012</v>
      </c>
      <c r="Q67" s="72">
        <f t="shared" si="87"/>
        <v>5.8078133718976002</v>
      </c>
      <c r="R67" s="72">
        <f t="shared" si="87"/>
        <v>7.2631816918975991</v>
      </c>
      <c r="S67" s="72">
        <f t="shared" si="87"/>
        <v>8.7185500118976016</v>
      </c>
      <c r="T67" s="72">
        <f t="shared" si="87"/>
        <v>10.1739183318976</v>
      </c>
      <c r="U67" s="72">
        <f t="shared" si="87"/>
        <v>11.629286651897605</v>
      </c>
      <c r="V67" s="72">
        <f t="shared" si="87"/>
        <v>13.084654971897599</v>
      </c>
      <c r="W67" s="72">
        <f t="shared" si="87"/>
        <v>14.540023291897597</v>
      </c>
      <c r="X67" s="72">
        <f t="shared" si="87"/>
        <v>15.995391611897601</v>
      </c>
      <c r="Y67" s="72">
        <f t="shared" si="87"/>
        <v>15.708226598564266</v>
      </c>
      <c r="Z67" s="72">
        <f t="shared" si="87"/>
        <v>15.42106158523093</v>
      </c>
      <c r="AA67" s="72">
        <f t="shared" si="87"/>
        <v>15.1338965718976</v>
      </c>
      <c r="AB67" s="72">
        <f t="shared" si="87"/>
        <v>14.846731558564265</v>
      </c>
      <c r="AC67" s="72">
        <f t="shared" si="87"/>
        <v>14.558756075897591</v>
      </c>
      <c r="AD67" s="72">
        <f t="shared" si="87"/>
        <v>13.733244395897593</v>
      </c>
      <c r="AE67" s="72">
        <f t="shared" si="87"/>
        <v>12.907732715897589</v>
      </c>
      <c r="AF67" s="72">
        <f t="shared" si="87"/>
        <v>12.082221035897591</v>
      </c>
      <c r="AG67" s="72">
        <f t="shared" si="87"/>
        <v>11.256709355897588</v>
      </c>
      <c r="AH67" s="72">
        <f t="shared" si="87"/>
        <v>10.431197675897591</v>
      </c>
      <c r="AI67" s="72">
        <f t="shared" si="87"/>
        <v>9.6056859958975895</v>
      </c>
      <c r="AJ67" s="72">
        <f t="shared" si="87"/>
        <v>8.7801743158975896</v>
      </c>
      <c r="AK67" s="72">
        <f t="shared" si="87"/>
        <v>7.9546626358975887</v>
      </c>
      <c r="AL67" s="72">
        <f t="shared" si="87"/>
        <v>7.129150955897587</v>
      </c>
      <c r="AM67" s="72">
        <f t="shared" si="87"/>
        <v>6.3036392758975888</v>
      </c>
      <c r="AO67" s="48"/>
      <c r="AP67" s="58"/>
      <c r="AR67" s="191">
        <f t="shared" si="82"/>
        <v>271.75714088000416</v>
      </c>
      <c r="AS67" s="58"/>
      <c r="AT67" s="174"/>
      <c r="AV67" s="48"/>
    </row>
    <row r="68" spans="1:48" s="44" customFormat="1" ht="16.2" x14ac:dyDescent="0.3">
      <c r="A68" s="58"/>
      <c r="B68" s="173" t="s">
        <v>85</v>
      </c>
      <c r="C68" s="60" t="s">
        <v>62</v>
      </c>
      <c r="D68" s="72">
        <f t="shared" ref="D68:AM68" si="88">D17*0.0392</f>
        <v>0</v>
      </c>
      <c r="E68" s="72">
        <f t="shared" si="88"/>
        <v>0</v>
      </c>
      <c r="F68" s="72">
        <f t="shared" si="88"/>
        <v>0</v>
      </c>
      <c r="G68" s="72">
        <f t="shared" si="88"/>
        <v>0</v>
      </c>
      <c r="H68" s="72">
        <f t="shared" si="88"/>
        <v>0</v>
      </c>
      <c r="I68" s="72">
        <f t="shared" si="88"/>
        <v>0</v>
      </c>
      <c r="J68" s="72">
        <f t="shared" si="88"/>
        <v>0</v>
      </c>
      <c r="K68" s="72">
        <f t="shared" si="88"/>
        <v>0</v>
      </c>
      <c r="L68" s="72">
        <f t="shared" si="88"/>
        <v>0</v>
      </c>
      <c r="M68" s="72">
        <f t="shared" si="88"/>
        <v>0</v>
      </c>
      <c r="N68" s="72">
        <f t="shared" si="88"/>
        <v>0</v>
      </c>
      <c r="O68" s="72">
        <f t="shared" si="88"/>
        <v>0</v>
      </c>
      <c r="P68" s="72">
        <f t="shared" si="88"/>
        <v>0</v>
      </c>
      <c r="Q68" s="72">
        <f t="shared" si="88"/>
        <v>0</v>
      </c>
      <c r="R68" s="72">
        <f t="shared" si="88"/>
        <v>0</v>
      </c>
      <c r="S68" s="72">
        <f t="shared" si="88"/>
        <v>0</v>
      </c>
      <c r="T68" s="72">
        <f t="shared" si="88"/>
        <v>0</v>
      </c>
      <c r="U68" s="72">
        <f t="shared" si="88"/>
        <v>0</v>
      </c>
      <c r="V68" s="72">
        <f t="shared" si="88"/>
        <v>0</v>
      </c>
      <c r="W68" s="72">
        <f t="shared" si="88"/>
        <v>0</v>
      </c>
      <c r="X68" s="72">
        <f t="shared" si="88"/>
        <v>1.8924525283663995</v>
      </c>
      <c r="Y68" s="72">
        <f t="shared" si="88"/>
        <v>3.7326125283663991</v>
      </c>
      <c r="Z68" s="72">
        <f t="shared" si="88"/>
        <v>5.5727725283663991</v>
      </c>
      <c r="AA68" s="72">
        <f t="shared" si="88"/>
        <v>7.4129325283663983</v>
      </c>
      <c r="AB68" s="72">
        <f t="shared" si="88"/>
        <v>9.2530925283663983</v>
      </c>
      <c r="AC68" s="72">
        <f t="shared" si="88"/>
        <v>11.093252528366399</v>
      </c>
      <c r="AD68" s="72">
        <f t="shared" si="88"/>
        <v>10.570318703584634</v>
      </c>
      <c r="AE68" s="72">
        <f t="shared" si="88"/>
        <v>10.065654740421271</v>
      </c>
      <c r="AF68" s="72">
        <f t="shared" si="88"/>
        <v>9.5442700732579127</v>
      </c>
      <c r="AG68" s="72">
        <f t="shared" si="88"/>
        <v>9.0061647020945514</v>
      </c>
      <c r="AH68" s="72">
        <f t="shared" si="88"/>
        <v>8.451338626931193</v>
      </c>
      <c r="AI68" s="72">
        <f t="shared" si="88"/>
        <v>7.7825104669311918</v>
      </c>
      <c r="AJ68" s="72">
        <f t="shared" si="88"/>
        <v>7.1136823069311914</v>
      </c>
      <c r="AK68" s="72">
        <f t="shared" si="88"/>
        <v>6.4448541469311911</v>
      </c>
      <c r="AL68" s="72">
        <f t="shared" si="88"/>
        <v>5.7760259869311907</v>
      </c>
      <c r="AM68" s="72">
        <f t="shared" si="88"/>
        <v>5.1071978269311913</v>
      </c>
      <c r="AO68" s="48"/>
      <c r="AP68" s="58"/>
      <c r="AR68" s="191">
        <f t="shared" si="82"/>
        <v>118.81913275114391</v>
      </c>
      <c r="AS68" s="58"/>
      <c r="AT68" s="174"/>
      <c r="AV68" s="48"/>
    </row>
    <row r="69" spans="1:48" s="44" customFormat="1" x14ac:dyDescent="0.3">
      <c r="A69" s="58"/>
      <c r="B69" s="175" t="s">
        <v>67</v>
      </c>
      <c r="C69" s="176" t="s">
        <v>62</v>
      </c>
      <c r="D69" s="177">
        <f>SUM(D66:D68)</f>
        <v>27.459227208000001</v>
      </c>
      <c r="E69" s="177">
        <f t="shared" ref="E69:AM69" si="89">SUM(E66:E68)</f>
        <v>27.866680986666665</v>
      </c>
      <c r="F69" s="177">
        <f t="shared" si="89"/>
        <v>27.959882159999999</v>
      </c>
      <c r="G69" s="177">
        <f t="shared" si="89"/>
        <v>28.212707039999998</v>
      </c>
      <c r="H69" s="177">
        <f t="shared" si="89"/>
        <v>27.833137042666664</v>
      </c>
      <c r="I69" s="177">
        <f t="shared" si="89"/>
        <v>27.380347958581332</v>
      </c>
      <c r="J69" s="177">
        <f t="shared" si="89"/>
        <v>27.237067372405335</v>
      </c>
      <c r="K69" s="177">
        <f t="shared" si="89"/>
        <v>27.265394593845336</v>
      </c>
      <c r="L69" s="177">
        <f t="shared" si="89"/>
        <v>27.292098249322667</v>
      </c>
      <c r="M69" s="177">
        <f t="shared" si="89"/>
        <v>27.334313533071999</v>
      </c>
      <c r="N69" s="177">
        <f t="shared" si="89"/>
        <v>28.726585695561599</v>
      </c>
      <c r="O69" s="177">
        <f t="shared" si="89"/>
        <v>29.345918815561593</v>
      </c>
      <c r="P69" s="177">
        <f t="shared" si="89"/>
        <v>29.965251935561596</v>
      </c>
      <c r="Q69" s="177">
        <f t="shared" si="89"/>
        <v>30.584585055561597</v>
      </c>
      <c r="R69" s="177">
        <f t="shared" si="89"/>
        <v>31.20391817556159</v>
      </c>
      <c r="S69" s="177">
        <f t="shared" si="89"/>
        <v>31.823251295561594</v>
      </c>
      <c r="T69" s="177">
        <f t="shared" si="89"/>
        <v>32.442584415561591</v>
      </c>
      <c r="U69" s="177">
        <f t="shared" si="89"/>
        <v>33.061917535561605</v>
      </c>
      <c r="V69" s="177">
        <f t="shared" si="89"/>
        <v>33.681250655561591</v>
      </c>
      <c r="W69" s="177">
        <f t="shared" si="89"/>
        <v>34.300583775561591</v>
      </c>
      <c r="X69" s="177">
        <f t="shared" si="89"/>
        <v>36.81236942392799</v>
      </c>
      <c r="Y69" s="177">
        <f t="shared" si="89"/>
        <v>37.529329210594653</v>
      </c>
      <c r="Z69" s="177">
        <f t="shared" si="89"/>
        <v>38.246288997261317</v>
      </c>
      <c r="AA69" s="177">
        <f t="shared" si="89"/>
        <v>38.963248783927988</v>
      </c>
      <c r="AB69" s="177">
        <f t="shared" si="89"/>
        <v>39.680208570594658</v>
      </c>
      <c r="AC69" s="177">
        <f t="shared" si="89"/>
        <v>40.396357887927977</v>
      </c>
      <c r="AD69" s="177">
        <f t="shared" si="89"/>
        <v>38.211877183146214</v>
      </c>
      <c r="AE69" s="177">
        <f t="shared" si="89"/>
        <v>36.045666339982851</v>
      </c>
      <c r="AF69" s="177">
        <f t="shared" si="89"/>
        <v>33.862734792819495</v>
      </c>
      <c r="AG69" s="177">
        <f t="shared" si="89"/>
        <v>31.663082541656127</v>
      </c>
      <c r="AH69" s="177">
        <f t="shared" si="89"/>
        <v>29.446709586492776</v>
      </c>
      <c r="AI69" s="177">
        <f t="shared" si="89"/>
        <v>27.116334546492773</v>
      </c>
      <c r="AJ69" s="177">
        <f t="shared" si="89"/>
        <v>24.78595950649277</v>
      </c>
      <c r="AK69" s="177">
        <f t="shared" si="89"/>
        <v>22.45558446649277</v>
      </c>
      <c r="AL69" s="177">
        <f t="shared" si="89"/>
        <v>20.125209426492766</v>
      </c>
      <c r="AM69" s="177">
        <f t="shared" si="89"/>
        <v>17.79483438649277</v>
      </c>
      <c r="AO69" s="48"/>
      <c r="AP69" s="58"/>
      <c r="AR69" s="191">
        <f t="shared" si="82"/>
        <v>828.27164300641198</v>
      </c>
      <c r="AS69" s="58"/>
      <c r="AT69" s="97"/>
      <c r="AV69" s="48"/>
    </row>
    <row r="70" spans="1:48" s="44" customFormat="1" x14ac:dyDescent="0.3">
      <c r="A70" s="58"/>
      <c r="B70" s="173" t="s">
        <v>68</v>
      </c>
      <c r="C70" s="60" t="s">
        <v>62</v>
      </c>
      <c r="D70" s="72">
        <f>D66+D67</f>
        <v>27.459227208000001</v>
      </c>
      <c r="E70" s="72">
        <f t="shared" ref="E70:AM70" si="90">E66+E67</f>
        <v>27.866680986666665</v>
      </c>
      <c r="F70" s="72">
        <f t="shared" si="90"/>
        <v>27.959882159999999</v>
      </c>
      <c r="G70" s="72">
        <f t="shared" si="90"/>
        <v>28.212707039999998</v>
      </c>
      <c r="H70" s="72">
        <f t="shared" si="90"/>
        <v>27.833137042666664</v>
      </c>
      <c r="I70" s="72">
        <f t="shared" si="90"/>
        <v>27.380347958581332</v>
      </c>
      <c r="J70" s="72">
        <f t="shared" si="90"/>
        <v>27.237067372405335</v>
      </c>
      <c r="K70" s="72">
        <f t="shared" si="90"/>
        <v>27.265394593845336</v>
      </c>
      <c r="L70" s="72">
        <f t="shared" si="90"/>
        <v>27.292098249322667</v>
      </c>
      <c r="M70" s="72">
        <f t="shared" si="90"/>
        <v>27.334313533071999</v>
      </c>
      <c r="N70" s="72">
        <f t="shared" si="90"/>
        <v>28.726585695561599</v>
      </c>
      <c r="O70" s="72">
        <f t="shared" si="90"/>
        <v>29.345918815561593</v>
      </c>
      <c r="P70" s="72">
        <f t="shared" si="90"/>
        <v>29.965251935561596</v>
      </c>
      <c r="Q70" s="72">
        <f t="shared" si="90"/>
        <v>30.584585055561597</v>
      </c>
      <c r="R70" s="72">
        <f t="shared" si="90"/>
        <v>31.20391817556159</v>
      </c>
      <c r="S70" s="72">
        <f t="shared" si="90"/>
        <v>31.823251295561594</v>
      </c>
      <c r="T70" s="72">
        <f t="shared" si="90"/>
        <v>32.442584415561591</v>
      </c>
      <c r="U70" s="72">
        <f t="shared" si="90"/>
        <v>33.061917535561605</v>
      </c>
      <c r="V70" s="72">
        <f t="shared" si="90"/>
        <v>33.681250655561591</v>
      </c>
      <c r="W70" s="72">
        <f t="shared" si="90"/>
        <v>34.300583775561591</v>
      </c>
      <c r="X70" s="72">
        <f t="shared" si="90"/>
        <v>34.919916895561592</v>
      </c>
      <c r="Y70" s="72">
        <f t="shared" si="90"/>
        <v>33.796716682228258</v>
      </c>
      <c r="Z70" s="72">
        <f t="shared" si="90"/>
        <v>32.673516468894917</v>
      </c>
      <c r="AA70" s="72">
        <f t="shared" si="90"/>
        <v>31.55031625556159</v>
      </c>
      <c r="AB70" s="72">
        <f t="shared" si="90"/>
        <v>30.427116042228256</v>
      </c>
      <c r="AC70" s="72">
        <f t="shared" si="90"/>
        <v>29.303105359561581</v>
      </c>
      <c r="AD70" s="72">
        <f t="shared" si="90"/>
        <v>27.641558479561581</v>
      </c>
      <c r="AE70" s="72">
        <f t="shared" si="90"/>
        <v>25.980011599561578</v>
      </c>
      <c r="AF70" s="72">
        <f t="shared" si="90"/>
        <v>24.318464719561582</v>
      </c>
      <c r="AG70" s="72">
        <f t="shared" si="90"/>
        <v>22.656917839561576</v>
      </c>
      <c r="AH70" s="72">
        <f t="shared" si="90"/>
        <v>20.995370959561583</v>
      </c>
      <c r="AI70" s="72">
        <f t="shared" si="90"/>
        <v>19.33382407956158</v>
      </c>
      <c r="AJ70" s="72">
        <f t="shared" si="90"/>
        <v>17.672277199561577</v>
      </c>
      <c r="AK70" s="72">
        <f t="shared" si="90"/>
        <v>16.010730319561578</v>
      </c>
      <c r="AL70" s="72">
        <f t="shared" si="90"/>
        <v>14.349183439561575</v>
      </c>
      <c r="AM70" s="72">
        <f t="shared" si="90"/>
        <v>12.687636559561579</v>
      </c>
      <c r="AO70" s="48"/>
      <c r="AP70" s="58"/>
      <c r="AR70" s="111">
        <f t="shared" si="82"/>
        <v>709.45251025526795</v>
      </c>
      <c r="AS70" s="58"/>
      <c r="AT70" s="97"/>
      <c r="AV70" s="48"/>
    </row>
    <row r="72" spans="1:48" x14ac:dyDescent="0.3">
      <c r="A72" s="184" t="s">
        <v>90</v>
      </c>
      <c r="B72" s="184" t="s">
        <v>65</v>
      </c>
      <c r="C72" s="31"/>
    </row>
    <row r="73" spans="1:48" x14ac:dyDescent="0.3">
      <c r="A73" s="184" t="s">
        <v>10</v>
      </c>
      <c r="B73" s="185">
        <f>(2140000000000)/(570000)/1000000</f>
        <v>3.7543859649122808</v>
      </c>
      <c r="C73" s="2"/>
    </row>
    <row r="74" spans="1:48" x14ac:dyDescent="0.3">
      <c r="A74" s="184" t="s">
        <v>0</v>
      </c>
      <c r="B74" s="185">
        <f>3.55/1.69</f>
        <v>2.1005917159763312</v>
      </c>
      <c r="C74" s="2"/>
    </row>
    <row r="75" spans="1:48" x14ac:dyDescent="0.3">
      <c r="A75" s="184" t="s">
        <v>13</v>
      </c>
      <c r="B75" s="185">
        <f>5.07/1.73</f>
        <v>2.9306358381502893</v>
      </c>
      <c r="C75" s="2"/>
    </row>
    <row r="77" spans="1:48" x14ac:dyDescent="0.3">
      <c r="B77" s="31"/>
    </row>
    <row r="78" spans="1:48" x14ac:dyDescent="0.3">
      <c r="A78" s="184" t="s">
        <v>0</v>
      </c>
      <c r="B78" t="s">
        <v>64</v>
      </c>
    </row>
    <row r="80" spans="1:48" x14ac:dyDescent="0.3">
      <c r="B80" s="26" t="s">
        <v>74</v>
      </c>
    </row>
    <row r="81" spans="2:29" x14ac:dyDescent="0.3">
      <c r="B81" t="s">
        <v>76</v>
      </c>
    </row>
    <row r="82" spans="2:29" x14ac:dyDescent="0.3">
      <c r="B82" t="s">
        <v>75</v>
      </c>
    </row>
    <row r="83" spans="2:29" x14ac:dyDescent="0.3">
      <c r="B83" t="s">
        <v>77</v>
      </c>
    </row>
    <row r="84" spans="2:29" x14ac:dyDescent="0.3">
      <c r="B84" t="s">
        <v>78</v>
      </c>
    </row>
    <row r="86" spans="2:29" x14ac:dyDescent="0.3">
      <c r="B86" s="190" t="s">
        <v>91</v>
      </c>
      <c r="AB86" s="1"/>
      <c r="AC86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B  (Aug. 29 2019)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rine</dc:creator>
  <cp:lastModifiedBy>james rine</cp:lastModifiedBy>
  <dcterms:created xsi:type="dcterms:W3CDTF">2017-05-04T19:42:39Z</dcterms:created>
  <dcterms:modified xsi:type="dcterms:W3CDTF">2019-08-29T21:30:38Z</dcterms:modified>
</cp:coreProperties>
</file>