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ri\Documents\AAPG\Climate Change Policy\Econ Oil paper 2017\Final Sub Sept 2019\Tables\"/>
    </mc:Choice>
  </mc:AlternateContent>
  <xr:revisionPtr revIDLastSave="0" documentId="13_ncr:1_{31060DB5-E362-459B-9E1E-5F33102DF69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APP A  (Aug. 26 2019)" sheetId="45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14" i="45" l="1"/>
  <c r="AV13" i="45"/>
  <c r="AV9" i="45"/>
  <c r="AV8" i="45"/>
  <c r="AV4" i="45"/>
  <c r="AV3" i="45"/>
  <c r="P32" i="45" l="1"/>
  <c r="Q32" i="45" s="1"/>
  <c r="R32" i="45" s="1"/>
  <c r="S32" i="45" s="1"/>
  <c r="T32" i="45" s="1"/>
  <c r="U32" i="45" s="1"/>
  <c r="V32" i="45" s="1"/>
  <c r="W32" i="45" s="1"/>
  <c r="X32" i="45" s="1"/>
  <c r="Y32" i="45" s="1"/>
  <c r="Z32" i="45" s="1"/>
  <c r="AA32" i="45" s="1"/>
  <c r="AB32" i="45" s="1"/>
  <c r="AC32" i="45" s="1"/>
  <c r="AD32" i="45" s="1"/>
  <c r="AE32" i="45" s="1"/>
  <c r="AF32" i="45" s="1"/>
  <c r="AG32" i="45" s="1"/>
  <c r="AH32" i="45" s="1"/>
  <c r="AI32" i="45" s="1"/>
  <c r="AJ32" i="45" s="1"/>
  <c r="AK32" i="45" s="1"/>
  <c r="AL32" i="45" s="1"/>
  <c r="AM32" i="45" s="1"/>
  <c r="AN32" i="45" s="1"/>
  <c r="R29" i="45"/>
  <c r="AN19" i="45"/>
  <c r="AM19" i="45"/>
  <c r="AM35" i="45" s="1"/>
  <c r="AL19" i="45"/>
  <c r="AK19" i="45"/>
  <c r="AK35" i="45" s="1"/>
  <c r="AJ19" i="45"/>
  <c r="AJ23" i="45" s="1"/>
  <c r="AI19" i="45"/>
  <c r="AI23" i="45" s="1"/>
  <c r="AH19" i="45"/>
  <c r="AG19" i="45"/>
  <c r="AG35" i="45" s="1"/>
  <c r="AF19" i="45"/>
  <c r="AF23" i="45" s="1"/>
  <c r="AE19" i="45"/>
  <c r="AE35" i="45" s="1"/>
  <c r="AD19" i="45"/>
  <c r="AD23" i="45" s="1"/>
  <c r="AC19" i="45"/>
  <c r="AC35" i="45" s="1"/>
  <c r="AB19" i="45"/>
  <c r="AB23" i="45" s="1"/>
  <c r="AA19" i="45"/>
  <c r="AA35" i="45" s="1"/>
  <c r="Z19" i="45"/>
  <c r="Z35" i="45" s="1"/>
  <c r="Y19" i="45"/>
  <c r="Y35" i="45" s="1"/>
  <c r="X19" i="45"/>
  <c r="X23" i="45" s="1"/>
  <c r="W19" i="45"/>
  <c r="W35" i="45" s="1"/>
  <c r="V19" i="45"/>
  <c r="U19" i="45"/>
  <c r="U35" i="45" s="1"/>
  <c r="T19" i="45"/>
  <c r="T23" i="45" s="1"/>
  <c r="S19" i="45"/>
  <c r="S23" i="45" s="1"/>
  <c r="R19" i="45"/>
  <c r="Q19" i="45"/>
  <c r="Q35" i="45" s="1"/>
  <c r="P19" i="45"/>
  <c r="P23" i="45" s="1"/>
  <c r="O19" i="45"/>
  <c r="O35" i="45" s="1"/>
  <c r="N19" i="45"/>
  <c r="N23" i="45" s="1"/>
  <c r="N25" i="45" s="1"/>
  <c r="O25" i="45" s="1"/>
  <c r="P25" i="45" s="1"/>
  <c r="Q25" i="45" s="1"/>
  <c r="R25" i="45" s="1"/>
  <c r="S25" i="45" s="1"/>
  <c r="T25" i="45" s="1"/>
  <c r="U25" i="45" s="1"/>
  <c r="V25" i="45" s="1"/>
  <c r="W25" i="45" s="1"/>
  <c r="X25" i="45" s="1"/>
  <c r="Y25" i="45" s="1"/>
  <c r="Z25" i="45" s="1"/>
  <c r="AA25" i="45" s="1"/>
  <c r="AB25" i="45" s="1"/>
  <c r="M19" i="45"/>
  <c r="M35" i="45" s="1"/>
  <c r="L19" i="45"/>
  <c r="L23" i="45" s="1"/>
  <c r="L25" i="45" s="1"/>
  <c r="K19" i="45"/>
  <c r="K35" i="45" s="1"/>
  <c r="J19" i="45"/>
  <c r="J35" i="45" s="1"/>
  <c r="I19" i="45"/>
  <c r="I35" i="45" s="1"/>
  <c r="H19" i="45"/>
  <c r="H23" i="45" s="1"/>
  <c r="H25" i="45" s="1"/>
  <c r="G19" i="45"/>
  <c r="G35" i="45" s="1"/>
  <c r="F19" i="45"/>
  <c r="E19" i="45"/>
  <c r="E35" i="45" s="1"/>
  <c r="AN18" i="45"/>
  <c r="AM18" i="45"/>
  <c r="AM36" i="45" s="1"/>
  <c r="AL18" i="45"/>
  <c r="AL36" i="45" s="1"/>
  <c r="AK18" i="45"/>
  <c r="AK36" i="45" s="1"/>
  <c r="AJ18" i="45"/>
  <c r="AJ36" i="45" s="1"/>
  <c r="AI18" i="45"/>
  <c r="AI36" i="45" s="1"/>
  <c r="AH18" i="45"/>
  <c r="AH36" i="45" s="1"/>
  <c r="AG18" i="45"/>
  <c r="AG36" i="45" s="1"/>
  <c r="AF18" i="45"/>
  <c r="AF36" i="45" s="1"/>
  <c r="AE18" i="45"/>
  <c r="AE36" i="45" s="1"/>
  <c r="AD18" i="45"/>
  <c r="AD36" i="45" s="1"/>
  <c r="AC18" i="45"/>
  <c r="AC36" i="45" s="1"/>
  <c r="AB18" i="45"/>
  <c r="AB36" i="45" s="1"/>
  <c r="AA18" i="45"/>
  <c r="AA36" i="45" s="1"/>
  <c r="Z18" i="45"/>
  <c r="Z36" i="45" s="1"/>
  <c r="Y18" i="45"/>
  <c r="Y36" i="45" s="1"/>
  <c r="X18" i="45"/>
  <c r="X36" i="45" s="1"/>
  <c r="W18" i="45"/>
  <c r="W36" i="45" s="1"/>
  <c r="V18" i="45"/>
  <c r="V36" i="45" s="1"/>
  <c r="U18" i="45"/>
  <c r="U36" i="45" s="1"/>
  <c r="T18" i="45"/>
  <c r="T36" i="45" s="1"/>
  <c r="S18" i="45"/>
  <c r="S36" i="45" s="1"/>
  <c r="R18" i="45"/>
  <c r="R36" i="45" s="1"/>
  <c r="Q18" i="45"/>
  <c r="Q36" i="45" s="1"/>
  <c r="P18" i="45"/>
  <c r="P36" i="45" s="1"/>
  <c r="O18" i="45"/>
  <c r="O36" i="45" s="1"/>
  <c r="N18" i="45"/>
  <c r="N36" i="45" s="1"/>
  <c r="M18" i="45"/>
  <c r="M36" i="45" s="1"/>
  <c r="L18" i="45"/>
  <c r="L36" i="45" s="1"/>
  <c r="K18" i="45"/>
  <c r="K36" i="45" s="1"/>
  <c r="J18" i="45"/>
  <c r="J36" i="45" s="1"/>
  <c r="I18" i="45"/>
  <c r="I36" i="45" s="1"/>
  <c r="H18" i="45"/>
  <c r="H36" i="45" s="1"/>
  <c r="G18" i="45"/>
  <c r="G36" i="45" s="1"/>
  <c r="F18" i="45"/>
  <c r="F36" i="45" s="1"/>
  <c r="E18" i="45"/>
  <c r="O16" i="45"/>
  <c r="N15" i="45"/>
  <c r="M15" i="45"/>
  <c r="L15" i="45"/>
  <c r="K15" i="45"/>
  <c r="J15" i="45"/>
  <c r="AS14" i="45"/>
  <c r="AQ14" i="45"/>
  <c r="AR14" i="45" s="1"/>
  <c r="AP14" i="45"/>
  <c r="AS13" i="45"/>
  <c r="AQ13" i="45"/>
  <c r="AP13" i="45"/>
  <c r="O11" i="45"/>
  <c r="N10" i="45"/>
  <c r="M10" i="45"/>
  <c r="L10" i="45"/>
  <c r="K10" i="45"/>
  <c r="J10" i="45"/>
  <c r="I10" i="45"/>
  <c r="H10" i="45"/>
  <c r="G10" i="45"/>
  <c r="F10" i="45"/>
  <c r="E10" i="45"/>
  <c r="AS9" i="45"/>
  <c r="AQ9" i="45"/>
  <c r="AR9" i="45" s="1"/>
  <c r="AP9" i="45"/>
  <c r="AS8" i="45"/>
  <c r="AQ8" i="45"/>
  <c r="AP8" i="45"/>
  <c r="O6" i="45"/>
  <c r="N5" i="45"/>
  <c r="M5" i="45"/>
  <c r="L5" i="45"/>
  <c r="L39" i="45" s="1"/>
  <c r="K5" i="45"/>
  <c r="J5" i="45"/>
  <c r="I5" i="45"/>
  <c r="H5" i="45"/>
  <c r="H39" i="45" s="1"/>
  <c r="G5" i="45"/>
  <c r="F5" i="45"/>
  <c r="E5" i="45"/>
  <c r="AS4" i="45"/>
  <c r="AQ4" i="45"/>
  <c r="AR4" i="45" s="1"/>
  <c r="AP4" i="45"/>
  <c r="AS3" i="45"/>
  <c r="AQ3" i="45"/>
  <c r="AP3" i="45"/>
  <c r="AN36" i="45" l="1"/>
  <c r="AS36" i="45" s="1"/>
  <c r="AT36" i="45" s="1"/>
  <c r="AV18" i="45"/>
  <c r="AN23" i="45"/>
  <c r="AV19" i="45"/>
  <c r="L38" i="45"/>
  <c r="F38" i="45"/>
  <c r="N35" i="45"/>
  <c r="AQ18" i="45"/>
  <c r="X35" i="45"/>
  <c r="I20" i="45"/>
  <c r="AF35" i="45"/>
  <c r="U23" i="45"/>
  <c r="H35" i="45"/>
  <c r="AJ35" i="45"/>
  <c r="AS18" i="45"/>
  <c r="E23" i="45"/>
  <c r="AE23" i="45"/>
  <c r="L35" i="45"/>
  <c r="T35" i="45"/>
  <c r="AI35" i="45"/>
  <c r="S35" i="45"/>
  <c r="O23" i="45"/>
  <c r="AQ19" i="45"/>
  <c r="AG23" i="45"/>
  <c r="G20" i="45"/>
  <c r="Q23" i="45"/>
  <c r="AK23" i="45"/>
  <c r="P35" i="45"/>
  <c r="AB35" i="45"/>
  <c r="AN35" i="45"/>
  <c r="L37" i="45"/>
  <c r="G38" i="45"/>
  <c r="G39" i="45"/>
  <c r="K38" i="45"/>
  <c r="K37" i="45"/>
  <c r="K20" i="45"/>
  <c r="F20" i="45"/>
  <c r="F35" i="45"/>
  <c r="F23" i="45"/>
  <c r="F25" i="45" s="1"/>
  <c r="R30" i="45"/>
  <c r="R35" i="45"/>
  <c r="R23" i="45"/>
  <c r="V35" i="45"/>
  <c r="V23" i="45"/>
  <c r="AH35" i="45"/>
  <c r="AH23" i="45"/>
  <c r="AL35" i="45"/>
  <c r="AL23" i="45"/>
  <c r="F39" i="45"/>
  <c r="E39" i="45"/>
  <c r="E37" i="45"/>
  <c r="E38" i="45"/>
  <c r="I39" i="45"/>
  <c r="I37" i="45"/>
  <c r="I38" i="45"/>
  <c r="M39" i="45"/>
  <c r="M37" i="45"/>
  <c r="M38" i="45"/>
  <c r="J23" i="45"/>
  <c r="J25" i="45" s="1"/>
  <c r="Z23" i="45"/>
  <c r="AD35" i="45"/>
  <c r="K39" i="45"/>
  <c r="F37" i="45"/>
  <c r="J39" i="45"/>
  <c r="J38" i="45"/>
  <c r="J37" i="45"/>
  <c r="J20" i="45"/>
  <c r="N39" i="45"/>
  <c r="N38" i="45"/>
  <c r="N37" i="45"/>
  <c r="N20" i="45"/>
  <c r="M20" i="45"/>
  <c r="G37" i="45"/>
  <c r="AS19" i="45"/>
  <c r="K23" i="45"/>
  <c r="K25" i="45" s="1"/>
  <c r="AA23" i="45"/>
  <c r="H37" i="45"/>
  <c r="H38" i="45"/>
  <c r="L20" i="45"/>
  <c r="AP18" i="45"/>
  <c r="E20" i="45"/>
  <c r="G23" i="45"/>
  <c r="G25" i="45" s="1"/>
  <c r="M23" i="45"/>
  <c r="M25" i="45" s="1"/>
  <c r="W23" i="45"/>
  <c r="AC23" i="45"/>
  <c r="AM23" i="45"/>
  <c r="E36" i="45"/>
  <c r="AP19" i="45"/>
  <c r="I23" i="45"/>
  <c r="I25" i="45" s="1"/>
  <c r="Y23" i="45"/>
  <c r="H20" i="45"/>
  <c r="AU19" i="45" l="1"/>
  <c r="AQ36" i="45"/>
  <c r="AQ35" i="45"/>
  <c r="AS35" i="45"/>
  <c r="AT35" i="45" s="1"/>
  <c r="AO23" i="45"/>
  <c r="AU18" i="45"/>
  <c r="O15" i="45"/>
  <c r="O10" i="45"/>
  <c r="O5" i="45"/>
  <c r="O38" i="45" l="1"/>
  <c r="O39" i="45"/>
  <c r="O37" i="45"/>
  <c r="O20" i="45"/>
  <c r="P10" i="45"/>
  <c r="P5" i="45"/>
  <c r="P15" i="45"/>
  <c r="P20" i="45" l="1"/>
  <c r="P38" i="45"/>
  <c r="P37" i="45"/>
  <c r="P39" i="45"/>
  <c r="Q10" i="45"/>
  <c r="Q5" i="45"/>
  <c r="Q15" i="45"/>
  <c r="R15" i="45" l="1"/>
  <c r="R10" i="45"/>
  <c r="R5" i="45"/>
  <c r="Q39" i="45"/>
  <c r="Q37" i="45"/>
  <c r="Q20" i="45"/>
  <c r="Q38" i="45"/>
  <c r="S10" i="45" l="1"/>
  <c r="S15" i="45"/>
  <c r="S5" i="45"/>
  <c r="R39" i="45"/>
  <c r="R38" i="45"/>
  <c r="R37" i="45"/>
  <c r="R20" i="45"/>
  <c r="T10" i="45" l="1"/>
  <c r="T5" i="45"/>
  <c r="T15" i="45"/>
  <c r="S38" i="45"/>
  <c r="S39" i="45"/>
  <c r="S37" i="45"/>
  <c r="S20" i="45"/>
  <c r="T20" i="45" l="1"/>
  <c r="T39" i="45"/>
  <c r="T38" i="45"/>
  <c r="T37" i="45"/>
  <c r="U10" i="45"/>
  <c r="U5" i="45"/>
  <c r="U15" i="45"/>
  <c r="V15" i="45" l="1"/>
  <c r="V5" i="45"/>
  <c r="V10" i="45"/>
  <c r="U39" i="45"/>
  <c r="U37" i="45"/>
  <c r="U38" i="45"/>
  <c r="U20" i="45"/>
  <c r="V37" i="45" l="1"/>
  <c r="V20" i="45"/>
  <c r="V38" i="45"/>
  <c r="V39" i="45"/>
  <c r="W15" i="45"/>
  <c r="W10" i="45"/>
  <c r="W5" i="45"/>
  <c r="W38" i="45" l="1"/>
  <c r="W39" i="45"/>
  <c r="W37" i="45"/>
  <c r="W20" i="45"/>
  <c r="X10" i="45"/>
  <c r="X5" i="45"/>
  <c r="X15" i="45"/>
  <c r="X20" i="45" l="1"/>
  <c r="X39" i="45"/>
  <c r="X38" i="45"/>
  <c r="X37" i="45"/>
  <c r="Y10" i="45"/>
  <c r="Y5" i="45"/>
  <c r="Y15" i="45"/>
  <c r="Z15" i="45" l="1"/>
  <c r="Z10" i="45"/>
  <c r="Z5" i="45"/>
  <c r="Y39" i="45"/>
  <c r="Y37" i="45"/>
  <c r="Y38" i="45"/>
  <c r="Y20" i="45"/>
  <c r="Z39" i="45" l="1"/>
  <c r="Z38" i="45"/>
  <c r="Z37" i="45"/>
  <c r="Z20" i="45"/>
  <c r="AA10" i="45"/>
  <c r="AA5" i="45"/>
  <c r="AA15" i="45"/>
  <c r="AA38" i="45" l="1"/>
  <c r="AA37" i="45"/>
  <c r="AA20" i="45"/>
  <c r="AA39" i="45"/>
  <c r="AC25" i="45"/>
  <c r="AB10" i="45"/>
  <c r="AB5" i="45"/>
  <c r="AB15" i="45"/>
  <c r="AB20" i="45" l="1"/>
  <c r="AB39" i="45"/>
  <c r="AB37" i="45"/>
  <c r="AB38" i="45"/>
  <c r="AD25" i="45"/>
  <c r="AC10" i="45"/>
  <c r="AC5" i="45"/>
  <c r="AC15" i="45"/>
  <c r="AC39" i="45" l="1"/>
  <c r="AC37" i="45"/>
  <c r="AC38" i="45"/>
  <c r="AC20" i="45"/>
  <c r="AE25" i="45"/>
  <c r="AD15" i="45"/>
  <c r="AD5" i="45"/>
  <c r="AD10" i="45"/>
  <c r="AD39" i="45" l="1"/>
  <c r="AD38" i="45"/>
  <c r="AD37" i="45"/>
  <c r="AD20" i="45"/>
  <c r="AE15" i="45"/>
  <c r="AE10" i="45"/>
  <c r="AF25" i="45"/>
  <c r="AE5" i="45"/>
  <c r="AE38" i="45" l="1"/>
  <c r="AE39" i="45"/>
  <c r="AE37" i="45"/>
  <c r="AE20" i="45"/>
  <c r="AF10" i="45"/>
  <c r="AF5" i="45"/>
  <c r="AG25" i="45"/>
  <c r="AF15" i="45"/>
  <c r="AG10" i="45" l="1"/>
  <c r="AG5" i="45"/>
  <c r="AH25" i="45"/>
  <c r="AG15" i="45"/>
  <c r="AF20" i="45"/>
  <c r="AF38" i="45"/>
  <c r="AF37" i="45"/>
  <c r="AF39" i="45"/>
  <c r="AI25" i="45" l="1"/>
  <c r="AH15" i="45"/>
  <c r="AH10" i="45"/>
  <c r="AH5" i="45"/>
  <c r="AG39" i="45"/>
  <c r="AG37" i="45"/>
  <c r="AG20" i="45"/>
  <c r="AG38" i="45"/>
  <c r="AH39" i="45" l="1"/>
  <c r="AH38" i="45"/>
  <c r="AH20" i="45"/>
  <c r="AH37" i="45"/>
  <c r="AJ25" i="45"/>
  <c r="AI10" i="45"/>
  <c r="AI15" i="45"/>
  <c r="AI5" i="45"/>
  <c r="AI38" i="45" l="1"/>
  <c r="AI39" i="45"/>
  <c r="AI37" i="45"/>
  <c r="AI20" i="45"/>
  <c r="AJ10" i="45"/>
  <c r="AJ5" i="45"/>
  <c r="AJ15" i="45"/>
  <c r="AK25" i="45"/>
  <c r="AK10" i="45" l="1"/>
  <c r="AK5" i="45"/>
  <c r="AK15" i="45"/>
  <c r="AL25" i="45"/>
  <c r="AJ20" i="45"/>
  <c r="AJ39" i="45"/>
  <c r="AJ38" i="45"/>
  <c r="AJ37" i="45"/>
  <c r="AM25" i="45" l="1"/>
  <c r="AL15" i="45"/>
  <c r="AL10" i="45"/>
  <c r="AL5" i="45"/>
  <c r="AK39" i="45"/>
  <c r="AK37" i="45"/>
  <c r="AK38" i="45"/>
  <c r="AK20" i="45"/>
  <c r="AL37" i="45" l="1"/>
  <c r="AL20" i="45"/>
  <c r="AL39" i="45"/>
  <c r="AL38" i="45"/>
  <c r="AN25" i="45"/>
  <c r="AM10" i="45"/>
  <c r="AM15" i="45"/>
  <c r="AM5" i="45"/>
  <c r="AM38" i="45" l="1"/>
  <c r="AM39" i="45"/>
  <c r="AM37" i="45"/>
  <c r="AM20" i="45"/>
  <c r="AN10" i="45"/>
  <c r="AV10" i="45" s="1"/>
  <c r="AN5" i="45"/>
  <c r="AV5" i="45" s="1"/>
  <c r="AN15" i="45"/>
  <c r="AV15" i="45" s="1"/>
  <c r="AN26" i="45"/>
  <c r="E28" i="45" s="1"/>
  <c r="AO25" i="45"/>
  <c r="AO27" i="45" s="1"/>
  <c r="AO29" i="45" s="1"/>
  <c r="AS25" i="45"/>
  <c r="AP15" i="45" l="1"/>
  <c r="AS15" i="45"/>
  <c r="AU15" i="45" s="1"/>
  <c r="AQ15" i="45"/>
  <c r="AN20" i="45"/>
  <c r="AV20" i="45" s="1"/>
  <c r="AP5" i="45"/>
  <c r="AN39" i="45"/>
  <c r="AN38" i="45"/>
  <c r="AN37" i="45"/>
  <c r="AQ5" i="45"/>
  <c r="AS5" i="45"/>
  <c r="AU5" i="45" s="1"/>
  <c r="AP10" i="45"/>
  <c r="AS10" i="45"/>
  <c r="AU10" i="45" s="1"/>
  <c r="AQ10" i="45"/>
  <c r="AQ37" i="45" l="1"/>
  <c r="AS37" i="45"/>
  <c r="AP20" i="45"/>
  <c r="AN24" i="45"/>
  <c r="AN28" i="45" s="1"/>
  <c r="AQ20" i="45"/>
  <c r="AS20" i="45"/>
  <c r="AU20" i="45" s="1"/>
  <c r="AQ38" i="45"/>
  <c r="AS38" i="45"/>
  <c r="AT38" i="45" s="1"/>
  <c r="AS39" i="45"/>
  <c r="AT39" i="45" s="1"/>
  <c r="AQ39" i="45"/>
  <c r="AS40" i="45" l="1"/>
  <c r="AT37" i="45"/>
</calcChain>
</file>

<file path=xl/sharedStrings.xml><?xml version="1.0" encoding="utf-8"?>
<sst xmlns="http://schemas.openxmlformats.org/spreadsheetml/2006/main" count="89" uniqueCount="65">
  <si>
    <t>api key</t>
  </si>
  <si>
    <t>17-AEO2017.36.ref_no_cpp-d120816a</t>
  </si>
  <si>
    <t>17-AEO2017.37.ref_no_cpp-d120816a</t>
  </si>
  <si>
    <t>17-AEO2017.38.ref_no_cpp-d120816a</t>
  </si>
  <si>
    <t>Gigatonnes</t>
  </si>
  <si>
    <t>total US emissions with no CPP 2015-2050</t>
  </si>
  <si>
    <t>total US emissions with  CPP 2015-2050</t>
  </si>
  <si>
    <t>total US emissions with  CPP 2000-2050</t>
  </si>
  <si>
    <t>US emissions 2000-2014 (EIA)</t>
  </si>
  <si>
    <t>Annual % decrease</t>
  </si>
  <si>
    <t>Total global emissions with US at 17.2% (calc. from BP 2016) and everyone peaks at 2019</t>
  </si>
  <si>
    <t>Reduction YEAR</t>
  </si>
  <si>
    <t xml:space="preserve">% of fuel type </t>
  </si>
  <si>
    <t>SUM by fuel type 2015-2050 ref case</t>
  </si>
  <si>
    <t>17-AEO2017.37.ref2017-d120816a</t>
  </si>
  <si>
    <t>17-AEO2017.36.ref2017-d120816a</t>
  </si>
  <si>
    <t>Natural Gas</t>
  </si>
  <si>
    <t>Coal</t>
  </si>
  <si>
    <t>17-AEO2017.38.ref2017-d120816a</t>
  </si>
  <si>
    <t>Percent 2050 of 2005 =</t>
  </si>
  <si>
    <t xml:space="preserve">% fuel of 2025 ref case no CPP total= </t>
  </si>
  <si>
    <t xml:space="preserve">% of Ref.  w/o CPP for 2025-2050 sum </t>
  </si>
  <si>
    <t>annual % decline from 2025</t>
  </si>
  <si>
    <t>2024 (PEAK)</t>
  </si>
  <si>
    <t>NG+oil with 80% reduction by 2050</t>
  </si>
  <si>
    <t>Oil with 80% reduction by 2050</t>
  </si>
  <si>
    <t>Coal+NG+oil with 80% reduction by 2050</t>
  </si>
  <si>
    <t>MMT CO2</t>
  </si>
  <si>
    <t>Growth (2015-2050)</t>
  </si>
  <si>
    <t>SUM by fuel type 2025-2050</t>
  </si>
  <si>
    <t>CO2 total with 3.0% annual reduction (2025-50)</t>
  </si>
  <si>
    <t>Annual Avg. Rate of Change from 2015 to 2050</t>
  </si>
  <si>
    <t>CATEGORY</t>
  </si>
  <si>
    <t>PLOT CATEGORIES</t>
  </si>
  <si>
    <t>UNITS</t>
  </si>
  <si>
    <t>Reduction from 2005 levels (%;)</t>
  </si>
  <si>
    <t xml:space="preserve">FOSSIL FUEL TYPE </t>
  </si>
  <si>
    <t>Carbon Dioxide: Total Petroleum: Reference case without CPP (EIA, 2017)</t>
  </si>
  <si>
    <t>Carbon Dioxide: Total NG: Reference case with CPP (EIA, 2017)</t>
  </si>
  <si>
    <t>Carbon Dioxide: Total NG: Reference case without CPP (EIA, 2017)</t>
  </si>
  <si>
    <t>Carbon Dioxide: Total NG 2015 to 2024 &amp; annual avg reduction of 3.0% 2025 to 2050</t>
  </si>
  <si>
    <t>Carbon Dioxide: Total Coal 2015 to 2024 &amp; annual avg reduction of 3.0% 2025 to 2050</t>
  </si>
  <si>
    <t>Carbon Dioxide: Total Coal: Reference case with CPP (EIA, 2017)</t>
  </si>
  <si>
    <t>Carbon Dioxide: Total by Fuel: Coal: Reference case without CPP (EIA, 2017)</t>
  </si>
  <si>
    <t>Reference case with CCP (EIA, 2017)</t>
  </si>
  <si>
    <t>Reference case without CCP (EIA, 2017)</t>
  </si>
  <si>
    <t>Petroleum (Oil)</t>
  </si>
  <si>
    <t>Carbon Dioxide: Total Petroleum 2015 to 2024 &amp; annual avg. reduction of 3.0% 2025 to 2050</t>
  </si>
  <si>
    <t>SUM by fuel type 2025-2050 in Gt</t>
  </si>
  <si>
    <t>Total fossil fuel emissions with CPP</t>
  </si>
  <si>
    <t>Total fossil fuel emissions no CPP</t>
  </si>
  <si>
    <t>Reduction goal by 2050 (20% of 2005)</t>
  </si>
  <si>
    <t>Yearly reduction increments</t>
  </si>
  <si>
    <t>Gt</t>
  </si>
  <si>
    <r>
      <t xml:space="preserve">2025    </t>
    </r>
    <r>
      <rPr>
        <sz val="10"/>
        <color theme="1"/>
        <rFont val="Calibri"/>
        <family val="2"/>
        <scheme val="minor"/>
      </rPr>
      <t>(Start Reducing emssions)</t>
    </r>
  </si>
  <si>
    <t>Carbon Dioxide: Total Petroleum: Reference case with Clean Power Plan (CPP; EIA, 2017)</t>
  </si>
  <si>
    <r>
      <t>UNITS</t>
    </r>
    <r>
      <rPr>
        <vertAlign val="superscript"/>
        <sz val="11"/>
        <color theme="1"/>
        <rFont val="Calibri"/>
        <family val="2"/>
        <scheme val="minor"/>
      </rPr>
      <t>1</t>
    </r>
  </si>
  <si>
    <t>C-ROADS (2018) 2100 T ( C )</t>
  </si>
  <si>
    <r>
      <t>Total US CO2 emissions at 2005 in Gt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(EIA, 2011; Table 6)</t>
    </r>
  </si>
  <si>
    <t>Reference case without CCP (EIA, 2017) in Gigatonnes (Gt)</t>
  </si>
  <si>
    <t>Total US Fossil Fuels</t>
  </si>
  <si>
    <t>Annual emissions with reductions starting in 2025 to 80% of 2005 in 2050</t>
  </si>
  <si>
    <t>[1] UNITS</t>
  </si>
  <si>
    <t>MMT CO2= million metric tons of CO2</t>
  </si>
  <si>
    <t>Gigatonne = 1000 MMT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</si>
</sst>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%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Fill="0" applyBorder="0"/>
    <xf numFmtId="9" fontId="2" fillId="0" borderId="0" applyFont="0" applyFill="0" applyBorder="0" applyAlignment="0" applyProtection="0"/>
  </cellStyleXfs>
  <cellXfs count="87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left" vertical="center" wrapText="1"/>
    </xf>
    <xf numFmtId="0" fontId="0" fillId="3" borderId="0" xfId="0" applyFill="1"/>
    <xf numFmtId="0" fontId="0" fillId="2" borderId="0" xfId="0" applyFill="1"/>
    <xf numFmtId="0" fontId="0" fillId="0" borderId="0" xfId="0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1" fontId="0" fillId="3" borderId="0" xfId="0" applyNumberFormat="1" applyFill="1" applyAlignment="1">
      <alignment horizontal="center" vertical="center"/>
    </xf>
    <xf numFmtId="0" fontId="0" fillId="8" borderId="0" xfId="0" applyFill="1" applyAlignment="1">
      <alignment vertical="center" wrapText="1"/>
    </xf>
    <xf numFmtId="11" fontId="0" fillId="8" borderId="0" xfId="0" applyNumberFormat="1" applyFill="1" applyAlignment="1">
      <alignment horizontal="center" vertical="center"/>
    </xf>
    <xf numFmtId="0" fontId="0" fillId="7" borderId="0" xfId="0" applyFill="1" applyAlignment="1">
      <alignment vertical="center" wrapText="1"/>
    </xf>
    <xf numFmtId="0" fontId="0" fillId="5" borderId="0" xfId="0" applyFill="1" applyAlignment="1">
      <alignment horizontal="center" vertical="center"/>
    </xf>
    <xf numFmtId="0" fontId="0" fillId="6" borderId="0" xfId="0" applyFill="1"/>
    <xf numFmtId="0" fontId="0" fillId="5" borderId="0" xfId="0" applyFill="1"/>
    <xf numFmtId="0" fontId="0" fillId="8" borderId="0" xfId="0" applyFill="1"/>
    <xf numFmtId="11" fontId="0" fillId="5" borderId="0" xfId="0" applyNumberFormat="1" applyFill="1" applyAlignment="1">
      <alignment horizontal="center" vertical="center"/>
    </xf>
    <xf numFmtId="11" fontId="0" fillId="0" borderId="0" xfId="0" applyNumberFormat="1" applyAlignment="1">
      <alignment horizontal="center"/>
    </xf>
    <xf numFmtId="166" fontId="0" fillId="0" borderId="0" xfId="2" applyNumberFormat="1" applyFont="1" applyAlignment="1">
      <alignment horizontal="center"/>
    </xf>
    <xf numFmtId="2" fontId="0" fillId="5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9" fontId="0" fillId="0" borderId="0" xfId="2" applyFont="1" applyAlignment="1">
      <alignment horizontal="center" vertical="center"/>
    </xf>
    <xf numFmtId="11" fontId="0" fillId="6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9" fontId="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2" fontId="0" fillId="8" borderId="0" xfId="0" applyNumberFormat="1" applyFill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1" fontId="0" fillId="10" borderId="0" xfId="0" applyNumberForma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1" fontId="0" fillId="9" borderId="0" xfId="0" applyNumberFormat="1" applyFill="1" applyAlignment="1">
      <alignment horizontal="center" vertical="center"/>
    </xf>
    <xf numFmtId="167" fontId="0" fillId="9" borderId="0" xfId="0" applyNumberFormat="1" applyFill="1" applyAlignment="1">
      <alignment horizontal="center" vertical="center"/>
    </xf>
    <xf numFmtId="11" fontId="0" fillId="7" borderId="0" xfId="0" applyNumberFormat="1" applyFill="1" applyAlignment="1">
      <alignment horizontal="center" vertical="center"/>
    </xf>
    <xf numFmtId="167" fontId="0" fillId="7" borderId="0" xfId="0" applyNumberFormat="1" applyFill="1" applyAlignment="1">
      <alignment horizontal="center" vertical="center"/>
    </xf>
    <xf numFmtId="167" fontId="0" fillId="1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right" vertical="center"/>
    </xf>
    <xf numFmtId="165" fontId="0" fillId="0" borderId="0" xfId="0" applyNumberFormat="1" applyFill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 vertical="center"/>
    </xf>
    <xf numFmtId="164" fontId="0" fillId="0" borderId="5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right" vertical="center"/>
    </xf>
    <xf numFmtId="165" fontId="0" fillId="0" borderId="8" xfId="0" applyNumberFormat="1" applyFill="1" applyBorder="1" applyAlignment="1">
      <alignment horizontal="center" vertical="center"/>
    </xf>
    <xf numFmtId="1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66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right" vertical="center"/>
    </xf>
    <xf numFmtId="0" fontId="0" fillId="5" borderId="0" xfId="0" applyFill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CO2 Emissions Based on Fuel Type with 80% Reduction</a:t>
            </a:r>
          </a:p>
          <a:p>
            <a:pPr>
              <a:defRPr/>
            </a:pPr>
            <a:r>
              <a:rPr lang="en-US" sz="1600" b="1" i="0" baseline="0"/>
              <a:t>Starting 2025</a:t>
            </a:r>
          </a:p>
          <a:p>
            <a:pPr>
              <a:defRPr/>
            </a:pPr>
            <a:r>
              <a:rPr lang="en-US" sz="1600" b="1" i="0" baseline="0"/>
              <a:t>        </a:t>
            </a:r>
          </a:p>
        </c:rich>
      </c:tx>
      <c:layout>
        <c:manualLayout>
          <c:xMode val="edge"/>
          <c:yMode val="edge"/>
          <c:x val="0.17303507985504707"/>
          <c:y val="3.7740355639703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v>OIL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val>
            <c:numRef>
              <c:f>'APP A  (Aug. 26 2019)'!$E$35:$AN$35</c:f>
              <c:numCache>
                <c:formatCode>0.00</c:formatCode>
                <c:ptCount val="36"/>
                <c:pt idx="0">
                  <c:v>5247.5864249999995</c:v>
                </c:pt>
                <c:pt idx="1">
                  <c:v>5145.4127189999999</c:v>
                </c:pt>
                <c:pt idx="2">
                  <c:v>5171.1643060000006</c:v>
                </c:pt>
                <c:pt idx="3">
                  <c:v>5206.7216799999997</c:v>
                </c:pt>
                <c:pt idx="4">
                  <c:v>5265.9489739999999</c:v>
                </c:pt>
                <c:pt idx="5">
                  <c:v>5276.2746580000003</c:v>
                </c:pt>
                <c:pt idx="6">
                  <c:v>5248.6640619999998</c:v>
                </c:pt>
                <c:pt idx="7">
                  <c:v>5254.1228019999999</c:v>
                </c:pt>
                <c:pt idx="8">
                  <c:v>5259.2686759999997</c:v>
                </c:pt>
                <c:pt idx="9">
                  <c:v>5267.403687</c:v>
                </c:pt>
                <c:pt idx="10">
                  <c:v>5256.0526129999998</c:v>
                </c:pt>
                <c:pt idx="11">
                  <c:v>5238.8431399999999</c:v>
                </c:pt>
                <c:pt idx="12">
                  <c:v>5226.0173340000001</c:v>
                </c:pt>
                <c:pt idx="13">
                  <c:v>5216.1348879999996</c:v>
                </c:pt>
                <c:pt idx="14">
                  <c:v>5212.2038569999995</c:v>
                </c:pt>
                <c:pt idx="15">
                  <c:v>5198.9335929999997</c:v>
                </c:pt>
                <c:pt idx="16">
                  <c:v>5179.9820550000004</c:v>
                </c:pt>
                <c:pt idx="17">
                  <c:v>5169.1597899999997</c:v>
                </c:pt>
                <c:pt idx="18">
                  <c:v>5164.9082039999994</c:v>
                </c:pt>
                <c:pt idx="19">
                  <c:v>5176.1385489999993</c:v>
                </c:pt>
                <c:pt idx="20">
                  <c:v>5196.6997080000001</c:v>
                </c:pt>
                <c:pt idx="21">
                  <c:v>5209.7468260000005</c:v>
                </c:pt>
                <c:pt idx="22">
                  <c:v>5232.2434090000006</c:v>
                </c:pt>
                <c:pt idx="23">
                  <c:v>5257.9882809999999</c:v>
                </c:pt>
                <c:pt idx="24">
                  <c:v>5276.3182369999995</c:v>
                </c:pt>
                <c:pt idx="25">
                  <c:v>5285.6448980000005</c:v>
                </c:pt>
                <c:pt idx="26">
                  <c:v>5298.3944090000005</c:v>
                </c:pt>
                <c:pt idx="27">
                  <c:v>5315.9449460000005</c:v>
                </c:pt>
                <c:pt idx="28">
                  <c:v>5343.9739989999998</c:v>
                </c:pt>
                <c:pt idx="29">
                  <c:v>5375.3741449999998</c:v>
                </c:pt>
                <c:pt idx="30">
                  <c:v>5407.8178709999993</c:v>
                </c:pt>
                <c:pt idx="31">
                  <c:v>5437.6636960000005</c:v>
                </c:pt>
                <c:pt idx="32">
                  <c:v>5465.7871100000002</c:v>
                </c:pt>
                <c:pt idx="33">
                  <c:v>5488.6303709999993</c:v>
                </c:pt>
                <c:pt idx="34">
                  <c:v>5516.0683589999999</c:v>
                </c:pt>
                <c:pt idx="35">
                  <c:v>5553.8001709999999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9-489F-BF36-0719FC33FBFD}"/>
            </c:ext>
          </c:extLst>
        </c:ser>
        <c:ser>
          <c:idx val="1"/>
          <c:order val="1"/>
          <c:tx>
            <c:v>EIA REF WITH CPP</c:v>
          </c:tx>
          <c:spPr>
            <a:solidFill>
              <a:schemeClr val="bg1">
                <a:lumMod val="85000"/>
              </a:schemeClr>
            </a:solidFill>
            <a:ln>
              <a:solidFill>
                <a:srgbClr val="FFC000"/>
              </a:solidFill>
            </a:ln>
            <a:effectLst/>
          </c:spPr>
          <c:val>
            <c:numRef>
              <c:f>'APP A  (Aug. 26 2019)'!$E$36:$AN$36</c:f>
              <c:numCache>
                <c:formatCode>0.00</c:formatCode>
                <c:ptCount val="36"/>
                <c:pt idx="0">
                  <c:v>5247.5864249999995</c:v>
                </c:pt>
                <c:pt idx="1">
                  <c:v>5145.5045159999991</c:v>
                </c:pt>
                <c:pt idx="2">
                  <c:v>5171.3094490000003</c:v>
                </c:pt>
                <c:pt idx="3">
                  <c:v>5210.6546629999993</c:v>
                </c:pt>
                <c:pt idx="4">
                  <c:v>5260.3677969999999</c:v>
                </c:pt>
                <c:pt idx="5">
                  <c:v>5260.1634519999998</c:v>
                </c:pt>
                <c:pt idx="6">
                  <c:v>5218.6213379999999</c:v>
                </c:pt>
                <c:pt idx="7">
                  <c:v>5158.5769049999999</c:v>
                </c:pt>
                <c:pt idx="8">
                  <c:v>5129.119385</c:v>
                </c:pt>
                <c:pt idx="9">
                  <c:v>5098.7178960000001</c:v>
                </c:pt>
                <c:pt idx="10">
                  <c:v>5057.0340580000002</c:v>
                </c:pt>
                <c:pt idx="11">
                  <c:v>5009.9017329999997</c:v>
                </c:pt>
                <c:pt idx="12">
                  <c:v>4953.7619620000005</c:v>
                </c:pt>
                <c:pt idx="13">
                  <c:v>4911.4973149999996</c:v>
                </c:pt>
                <c:pt idx="14">
                  <c:v>4874.5385740000002</c:v>
                </c:pt>
                <c:pt idx="15">
                  <c:v>4839.3657219999996</c:v>
                </c:pt>
                <c:pt idx="16">
                  <c:v>4820.5339360000007</c:v>
                </c:pt>
                <c:pt idx="17">
                  <c:v>4806.9180909999995</c:v>
                </c:pt>
                <c:pt idx="18">
                  <c:v>4803.2607429999998</c:v>
                </c:pt>
                <c:pt idx="19">
                  <c:v>4807.7595220000003</c:v>
                </c:pt>
                <c:pt idx="20">
                  <c:v>4815.596313</c:v>
                </c:pt>
                <c:pt idx="21">
                  <c:v>4824.9133299999994</c:v>
                </c:pt>
                <c:pt idx="22">
                  <c:v>4833.3306890000003</c:v>
                </c:pt>
                <c:pt idx="23">
                  <c:v>4843.4977410000001</c:v>
                </c:pt>
                <c:pt idx="24">
                  <c:v>4857.650208</c:v>
                </c:pt>
                <c:pt idx="25">
                  <c:v>4866.8219600000002</c:v>
                </c:pt>
                <c:pt idx="26">
                  <c:v>4879.7175290000005</c:v>
                </c:pt>
                <c:pt idx="27">
                  <c:v>4895.9627079999991</c:v>
                </c:pt>
                <c:pt idx="28">
                  <c:v>4915.9878549999994</c:v>
                </c:pt>
                <c:pt idx="29">
                  <c:v>4936.4450080000006</c:v>
                </c:pt>
                <c:pt idx="30">
                  <c:v>4956.7985229999995</c:v>
                </c:pt>
                <c:pt idx="31">
                  <c:v>4980.7808230000001</c:v>
                </c:pt>
                <c:pt idx="32">
                  <c:v>5001.5524299999997</c:v>
                </c:pt>
                <c:pt idx="33">
                  <c:v>5021.395203</c:v>
                </c:pt>
                <c:pt idx="34">
                  <c:v>5044.3646849999996</c:v>
                </c:pt>
                <c:pt idx="35">
                  <c:v>5072.6318969999993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9-489F-BF36-0719FC33FBFD}"/>
            </c:ext>
          </c:extLst>
        </c:ser>
        <c:ser>
          <c:idx val="2"/>
          <c:order val="2"/>
          <c:tx>
            <c:v>COAL</c:v>
          </c:tx>
          <c:spPr>
            <a:solidFill>
              <a:schemeClr val="tx1"/>
            </a:solidFill>
            <a:ln>
              <a:noFill/>
            </a:ln>
            <a:effectLst/>
          </c:spPr>
          <c:val>
            <c:numRef>
              <c:f>'APP A  (Aug. 26 2019)'!$E$37:$AN$37</c:f>
              <c:numCache>
                <c:formatCode>0.00</c:formatCode>
                <c:ptCount val="36"/>
                <c:pt idx="0">
                  <c:v>5247.5864249999995</c:v>
                </c:pt>
                <c:pt idx="1">
                  <c:v>5145.4127189999999</c:v>
                </c:pt>
                <c:pt idx="2">
                  <c:v>5171.1643060000006</c:v>
                </c:pt>
                <c:pt idx="3">
                  <c:v>5206.7216799999997</c:v>
                </c:pt>
                <c:pt idx="4">
                  <c:v>5265.9489739999999</c:v>
                </c:pt>
                <c:pt idx="5">
                  <c:v>5276.2746580000003</c:v>
                </c:pt>
                <c:pt idx="6">
                  <c:v>5248.6640619999998</c:v>
                </c:pt>
                <c:pt idx="7">
                  <c:v>5254.1228019999999</c:v>
                </c:pt>
                <c:pt idx="8">
                  <c:v>5259.2686759999997</c:v>
                </c:pt>
                <c:pt idx="9">
                  <c:v>5267.403687</c:v>
                </c:pt>
                <c:pt idx="10">
                  <c:v>5110.8036869999987</c:v>
                </c:pt>
                <c:pt idx="11">
                  <c:v>4954.2036869999993</c:v>
                </c:pt>
                <c:pt idx="12">
                  <c:v>4797.6036869999998</c:v>
                </c:pt>
                <c:pt idx="13">
                  <c:v>4641.0036869999994</c:v>
                </c:pt>
                <c:pt idx="14">
                  <c:v>4484.4036869999991</c:v>
                </c:pt>
                <c:pt idx="15">
                  <c:v>4327.8036869999996</c:v>
                </c:pt>
                <c:pt idx="16">
                  <c:v>4171.2036869999993</c:v>
                </c:pt>
                <c:pt idx="17">
                  <c:v>4014.6036869999989</c:v>
                </c:pt>
                <c:pt idx="18">
                  <c:v>3858.0036869999985</c:v>
                </c:pt>
                <c:pt idx="19">
                  <c:v>3701.4036869999991</c:v>
                </c:pt>
                <c:pt idx="20">
                  <c:v>3544.8036869999987</c:v>
                </c:pt>
                <c:pt idx="21">
                  <c:v>3388.2036869999984</c:v>
                </c:pt>
                <c:pt idx="22">
                  <c:v>3231.6036869999989</c:v>
                </c:pt>
                <c:pt idx="23">
                  <c:v>3075.0036869999985</c:v>
                </c:pt>
                <c:pt idx="24">
                  <c:v>2918.4036869999982</c:v>
                </c:pt>
                <c:pt idx="25">
                  <c:v>2761.8036869999987</c:v>
                </c:pt>
                <c:pt idx="26">
                  <c:v>2605.2036869999984</c:v>
                </c:pt>
                <c:pt idx="27">
                  <c:v>2448.603686999998</c:v>
                </c:pt>
                <c:pt idx="28">
                  <c:v>2292.0036869999985</c:v>
                </c:pt>
                <c:pt idx="29">
                  <c:v>2135.4036869999982</c:v>
                </c:pt>
                <c:pt idx="30">
                  <c:v>1978.8036869999983</c:v>
                </c:pt>
                <c:pt idx="31">
                  <c:v>1822.2036869999981</c:v>
                </c:pt>
                <c:pt idx="32">
                  <c:v>1665.6036869999982</c:v>
                </c:pt>
                <c:pt idx="33">
                  <c:v>1509.0036869999981</c:v>
                </c:pt>
                <c:pt idx="34">
                  <c:v>1352.4036869999977</c:v>
                </c:pt>
                <c:pt idx="35">
                  <c:v>1195.8036869999978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9-489F-BF36-0719FC33FBFD}"/>
            </c:ext>
          </c:extLst>
        </c:ser>
        <c:ser>
          <c:idx val="3"/>
          <c:order val="3"/>
          <c:tx>
            <c:v>NG</c:v>
          </c:tx>
          <c:spPr>
            <a:solidFill>
              <a:srgbClr val="FF0000"/>
            </a:solidFill>
            <a:ln>
              <a:noFill/>
            </a:ln>
            <a:effectLst/>
          </c:spPr>
          <c:val>
            <c:numRef>
              <c:f>'APP A  (Aug. 26 2019)'!$E$38:$AN$38</c:f>
              <c:numCache>
                <c:formatCode>0.00</c:formatCode>
                <c:ptCount val="36"/>
                <c:pt idx="0">
                  <c:v>3765.006347</c:v>
                </c:pt>
                <c:pt idx="1">
                  <c:v>3818.0317379999997</c:v>
                </c:pt>
                <c:pt idx="2">
                  <c:v>3824.8857420000004</c:v>
                </c:pt>
                <c:pt idx="3">
                  <c:v>3865.3757329999999</c:v>
                </c:pt>
                <c:pt idx="4">
                  <c:v>3844.840698</c:v>
                </c:pt>
                <c:pt idx="5">
                  <c:v>3811.1184080000003</c:v>
                </c:pt>
                <c:pt idx="6">
                  <c:v>3795.9173580000001</c:v>
                </c:pt>
                <c:pt idx="7">
                  <c:v>3789.8720700000003</c:v>
                </c:pt>
                <c:pt idx="8">
                  <c:v>3787.2023920000001</c:v>
                </c:pt>
                <c:pt idx="9">
                  <c:v>3779.1571050000002</c:v>
                </c:pt>
                <c:pt idx="10">
                  <c:v>3669.5570472659992</c:v>
                </c:pt>
                <c:pt idx="11">
                  <c:v>3557.1182472659993</c:v>
                </c:pt>
                <c:pt idx="12">
                  <c:v>3444.6794472659999</c:v>
                </c:pt>
                <c:pt idx="13">
                  <c:v>3332.2406472659995</c:v>
                </c:pt>
                <c:pt idx="14">
                  <c:v>3219.8018472659992</c:v>
                </c:pt>
                <c:pt idx="15">
                  <c:v>3107.3630472659997</c:v>
                </c:pt>
                <c:pt idx="16">
                  <c:v>2994.9242472659994</c:v>
                </c:pt>
                <c:pt idx="17">
                  <c:v>2882.4854472659995</c:v>
                </c:pt>
                <c:pt idx="18">
                  <c:v>2770.0466472659991</c:v>
                </c:pt>
                <c:pt idx="19">
                  <c:v>2657.6078472659992</c:v>
                </c:pt>
                <c:pt idx="20">
                  <c:v>2545.1690472659993</c:v>
                </c:pt>
                <c:pt idx="21">
                  <c:v>2432.730247265999</c:v>
                </c:pt>
                <c:pt idx="22">
                  <c:v>2320.2914472659991</c:v>
                </c:pt>
                <c:pt idx="23">
                  <c:v>2207.8526472659992</c:v>
                </c:pt>
                <c:pt idx="24">
                  <c:v>2095.4138472659988</c:v>
                </c:pt>
                <c:pt idx="25">
                  <c:v>1982.9750472659989</c:v>
                </c:pt>
                <c:pt idx="26">
                  <c:v>1870.536247265999</c:v>
                </c:pt>
                <c:pt idx="27">
                  <c:v>1758.0974472659987</c:v>
                </c:pt>
                <c:pt idx="28">
                  <c:v>1645.658647265999</c:v>
                </c:pt>
                <c:pt idx="29">
                  <c:v>1533.2198472659986</c:v>
                </c:pt>
                <c:pt idx="30">
                  <c:v>1420.7810472659987</c:v>
                </c:pt>
                <c:pt idx="31">
                  <c:v>1308.3422472659986</c:v>
                </c:pt>
                <c:pt idx="32">
                  <c:v>1195.9034472659987</c:v>
                </c:pt>
                <c:pt idx="33">
                  <c:v>1083.4646472659986</c:v>
                </c:pt>
                <c:pt idx="34">
                  <c:v>971.02584726599844</c:v>
                </c:pt>
                <c:pt idx="35">
                  <c:v>858.58704726599854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69-489F-BF36-0719FC33FBFD}"/>
            </c:ext>
          </c:extLst>
        </c:ser>
        <c:ser>
          <c:idx val="4"/>
          <c:order val="4"/>
          <c:tx>
            <c:v>EIA REF WITH NO CPP</c:v>
          </c:tx>
          <c:spPr>
            <a:solidFill>
              <a:srgbClr val="00B050"/>
            </a:solidFill>
            <a:ln>
              <a:noFill/>
            </a:ln>
            <a:effectLst/>
          </c:spPr>
          <c:val>
            <c:numRef>
              <c:f>'APP A  (Aug. 26 2019)'!$E$39:$AN$39</c:f>
              <c:numCache>
                <c:formatCode>0.00</c:formatCode>
                <c:ptCount val="36"/>
                <c:pt idx="0">
                  <c:v>2293.976318</c:v>
                </c:pt>
                <c:pt idx="1">
                  <c:v>2325.173828</c:v>
                </c:pt>
                <c:pt idx="2">
                  <c:v>2327.0349120000001</c:v>
                </c:pt>
                <c:pt idx="3">
                  <c:v>2353.9807129999999</c:v>
                </c:pt>
                <c:pt idx="4">
                  <c:v>2353.7797850000002</c:v>
                </c:pt>
                <c:pt idx="5">
                  <c:v>2344.991943</c:v>
                </c:pt>
                <c:pt idx="6">
                  <c:v>2338.9460450000001</c:v>
                </c:pt>
                <c:pt idx="7">
                  <c:v>2330.6735840000001</c:v>
                </c:pt>
                <c:pt idx="8">
                  <c:v>2316.1879880000001</c:v>
                </c:pt>
                <c:pt idx="9">
                  <c:v>2296.1623540000001</c:v>
                </c:pt>
                <c:pt idx="10">
                  <c:v>2207.8671927839996</c:v>
                </c:pt>
                <c:pt idx="11">
                  <c:v>2140.2159927839998</c:v>
                </c:pt>
                <c:pt idx="12">
                  <c:v>2072.564792784</c:v>
                </c:pt>
                <c:pt idx="13">
                  <c:v>2004.9135927839998</c:v>
                </c:pt>
                <c:pt idx="14">
                  <c:v>1937.2623927839995</c:v>
                </c:pt>
                <c:pt idx="15">
                  <c:v>1869.6111927839997</c:v>
                </c:pt>
                <c:pt idx="16">
                  <c:v>1801.9599927839997</c:v>
                </c:pt>
                <c:pt idx="17">
                  <c:v>1734.3087927839997</c:v>
                </c:pt>
                <c:pt idx="18">
                  <c:v>1666.6575927839995</c:v>
                </c:pt>
                <c:pt idx="19">
                  <c:v>1599.0063927839997</c:v>
                </c:pt>
                <c:pt idx="20">
                  <c:v>1531.3551927839997</c:v>
                </c:pt>
                <c:pt idx="21">
                  <c:v>1463.7039927839994</c:v>
                </c:pt>
                <c:pt idx="22">
                  <c:v>1396.0527927839996</c:v>
                </c:pt>
                <c:pt idx="23">
                  <c:v>1328.4015927839996</c:v>
                </c:pt>
                <c:pt idx="24">
                  <c:v>1260.7503927839994</c:v>
                </c:pt>
                <c:pt idx="25">
                  <c:v>1193.0991927839993</c:v>
                </c:pt>
                <c:pt idx="26">
                  <c:v>1125.4479927839996</c:v>
                </c:pt>
                <c:pt idx="27">
                  <c:v>1057.7967927839993</c:v>
                </c:pt>
                <c:pt idx="28">
                  <c:v>990.1455927839994</c:v>
                </c:pt>
                <c:pt idx="29">
                  <c:v>922.49439278399916</c:v>
                </c:pt>
                <c:pt idx="30">
                  <c:v>854.84319278399926</c:v>
                </c:pt>
                <c:pt idx="31">
                  <c:v>787.19199278399924</c:v>
                </c:pt>
                <c:pt idx="32">
                  <c:v>719.54079278399922</c:v>
                </c:pt>
                <c:pt idx="33">
                  <c:v>651.88959278399921</c:v>
                </c:pt>
                <c:pt idx="34">
                  <c:v>584.23839278399907</c:v>
                </c:pt>
                <c:pt idx="35">
                  <c:v>516.58719278399917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69-489F-BF36-0719FC33F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862848"/>
        <c:axId val="531863176"/>
      </c:areaChart>
      <c:catAx>
        <c:axId val="5318628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863176"/>
        <c:crosses val="autoZero"/>
        <c:auto val="1"/>
        <c:lblAlgn val="ctr"/>
        <c:lblOffset val="100"/>
        <c:noMultiLvlLbl val="0"/>
      </c:catAx>
      <c:valAx>
        <c:axId val="53186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862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280035</xdr:colOff>
      <xdr:row>40</xdr:row>
      <xdr:rowOff>177352</xdr:rowOff>
    </xdr:from>
    <xdr:to>
      <xdr:col>19</xdr:col>
      <xdr:colOff>77304</xdr:colOff>
      <xdr:row>72</xdr:row>
      <xdr:rowOff>110435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3BC07D-1587-4C16-960B-096504242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3504-C291-4CFB-B8F5-4D318594E872}">
  <dimension ref="A2:AW43"/>
  <sheetViews>
    <sheetView tabSelected="1" topLeftCell="A2" zoomScale="80" zoomScaleNormal="80" workbookViewId="0">
      <pane xSplit="3" ySplit="1" topLeftCell="D20" activePane="bottomRight" state="frozen"/>
      <selection activeCell="A2" sqref="A2"/>
      <selection pane="topRight" activeCell="D2" sqref="D2"/>
      <selection pane="bottomLeft" activeCell="A3" sqref="A3"/>
      <selection pane="bottomRight" activeCell="B41" sqref="B41:B43"/>
    </sheetView>
  </sheetViews>
  <sheetFormatPr defaultRowHeight="14.4" x14ac:dyDescent="0.3"/>
  <cols>
    <col min="1" max="1" width="24.109375" style="17" customWidth="1"/>
    <col min="2" max="2" width="44.109375" customWidth="1"/>
    <col min="3" max="3" width="0.6640625" customWidth="1"/>
    <col min="4" max="4" width="10.77734375" style="3" customWidth="1"/>
    <col min="5" max="5" width="8.88671875" style="25" customWidth="1"/>
    <col min="6" max="36" width="8.88671875" style="25"/>
    <col min="37" max="39" width="8.88671875" style="25" customWidth="1"/>
    <col min="40" max="40" width="9.77734375" style="25" customWidth="1"/>
    <col min="41" max="41" width="14.109375" style="3" customWidth="1"/>
    <col min="42" max="42" width="13.6640625" style="3" customWidth="1"/>
    <col min="43" max="43" width="12.21875" style="3" customWidth="1"/>
    <col min="44" max="44" width="8.88671875" style="3"/>
    <col min="45" max="46" width="11.33203125" style="3" customWidth="1"/>
    <col min="47" max="47" width="9.6640625" style="3" customWidth="1"/>
    <col min="48" max="48" width="11.6640625" customWidth="1"/>
  </cols>
  <sheetData>
    <row r="2" spans="1:48" ht="91.2" customHeight="1" x14ac:dyDescent="0.3">
      <c r="A2" s="14" t="s">
        <v>36</v>
      </c>
      <c r="B2" s="14" t="s">
        <v>32</v>
      </c>
      <c r="C2" t="s">
        <v>0</v>
      </c>
      <c r="D2" s="17" t="s">
        <v>56</v>
      </c>
      <c r="E2" s="21">
        <v>2015</v>
      </c>
      <c r="F2" s="21">
        <v>2016</v>
      </c>
      <c r="G2" s="21">
        <v>2017</v>
      </c>
      <c r="H2" s="21">
        <v>2018</v>
      </c>
      <c r="I2" s="21">
        <v>2019</v>
      </c>
      <c r="J2" s="21">
        <v>2020</v>
      </c>
      <c r="K2" s="21">
        <v>2021</v>
      </c>
      <c r="L2" s="21">
        <v>2022</v>
      </c>
      <c r="M2" s="21">
        <v>2023</v>
      </c>
      <c r="N2" s="20" t="s">
        <v>23</v>
      </c>
      <c r="O2" s="20" t="s">
        <v>54</v>
      </c>
      <c r="P2" s="21">
        <v>2026</v>
      </c>
      <c r="Q2" s="21">
        <v>2027</v>
      </c>
      <c r="R2" s="21">
        <v>2028</v>
      </c>
      <c r="S2" s="21">
        <v>2029</v>
      </c>
      <c r="T2" s="21">
        <v>2030</v>
      </c>
      <c r="U2" s="21">
        <v>2031</v>
      </c>
      <c r="V2" s="21">
        <v>2032</v>
      </c>
      <c r="W2" s="21">
        <v>2033</v>
      </c>
      <c r="X2" s="21">
        <v>2034</v>
      </c>
      <c r="Y2" s="21">
        <v>2035</v>
      </c>
      <c r="Z2" s="21">
        <v>2036</v>
      </c>
      <c r="AA2" s="21">
        <v>2037</v>
      </c>
      <c r="AB2" s="21">
        <v>2038</v>
      </c>
      <c r="AC2" s="21">
        <v>2039</v>
      </c>
      <c r="AD2" s="21">
        <v>2040</v>
      </c>
      <c r="AE2" s="21">
        <v>2041</v>
      </c>
      <c r="AF2" s="21">
        <v>2042</v>
      </c>
      <c r="AG2" s="21">
        <v>2043</v>
      </c>
      <c r="AH2" s="21">
        <v>2044</v>
      </c>
      <c r="AI2" s="21">
        <v>2045</v>
      </c>
      <c r="AJ2" s="21">
        <v>2046</v>
      </c>
      <c r="AK2" s="21">
        <v>2047</v>
      </c>
      <c r="AL2" s="21">
        <v>2048</v>
      </c>
      <c r="AM2" s="21">
        <v>2049</v>
      </c>
      <c r="AN2" s="21">
        <v>2050</v>
      </c>
      <c r="AO2" s="4" t="s">
        <v>28</v>
      </c>
      <c r="AP2" s="4" t="s">
        <v>31</v>
      </c>
      <c r="AQ2" s="4" t="s">
        <v>13</v>
      </c>
      <c r="AR2" s="4" t="s">
        <v>12</v>
      </c>
      <c r="AS2" s="4" t="s">
        <v>29</v>
      </c>
      <c r="AT2" s="78" t="s">
        <v>48</v>
      </c>
      <c r="AU2" s="4" t="s">
        <v>21</v>
      </c>
      <c r="AV2" s="4" t="s">
        <v>35</v>
      </c>
    </row>
    <row r="3" spans="1:48" s="7" customFormat="1" ht="28.8" x14ac:dyDescent="0.3">
      <c r="A3" s="42"/>
      <c r="B3" s="31" t="s">
        <v>55</v>
      </c>
      <c r="C3" s="7" t="s">
        <v>15</v>
      </c>
      <c r="D3" s="17" t="s">
        <v>27</v>
      </c>
      <c r="E3" s="25">
        <v>2293.976318</v>
      </c>
      <c r="F3" s="25">
        <v>2325.1770019999999</v>
      </c>
      <c r="G3" s="25">
        <v>2327.0349120000001</v>
      </c>
      <c r="H3" s="25">
        <v>2354.076904</v>
      </c>
      <c r="I3" s="25">
        <v>2353.7368160000001</v>
      </c>
      <c r="J3" s="25">
        <v>2344.5151369999999</v>
      </c>
      <c r="K3" s="25">
        <v>2337.806885</v>
      </c>
      <c r="L3" s="25">
        <v>2327.2475589999999</v>
      </c>
      <c r="M3" s="25">
        <v>2310.8647460000002</v>
      </c>
      <c r="N3" s="25">
        <v>2289.3151859999998</v>
      </c>
      <c r="O3" s="25">
        <v>2261.29126</v>
      </c>
      <c r="P3" s="25">
        <v>2235.0578609999998</v>
      </c>
      <c r="Q3" s="25">
        <v>2212.5349120000001</v>
      </c>
      <c r="R3" s="25">
        <v>2193.1594239999999</v>
      </c>
      <c r="S3" s="25">
        <v>2177.7241210000002</v>
      </c>
      <c r="T3" s="25">
        <v>2163.4951169999999</v>
      </c>
      <c r="U3" s="25">
        <v>2149.5798340000001</v>
      </c>
      <c r="V3" s="25">
        <v>2136.9328609999998</v>
      </c>
      <c r="W3" s="25">
        <v>2129.5102539999998</v>
      </c>
      <c r="X3" s="25">
        <v>2127.0366210000002</v>
      </c>
      <c r="Y3" s="25">
        <v>2126.741211</v>
      </c>
      <c r="Z3" s="25">
        <v>2127.5998540000001</v>
      </c>
      <c r="AA3" s="25">
        <v>2131.4047850000002</v>
      </c>
      <c r="AB3" s="25">
        <v>2137.899414</v>
      </c>
      <c r="AC3" s="25">
        <v>2145.3645019999999</v>
      </c>
      <c r="AD3" s="25">
        <v>2151.266357</v>
      </c>
      <c r="AE3" s="25">
        <v>2158.536865</v>
      </c>
      <c r="AF3" s="25">
        <v>2168.8520509999998</v>
      </c>
      <c r="AG3" s="25">
        <v>2181.7719729999999</v>
      </c>
      <c r="AH3" s="25">
        <v>2194.9648440000001</v>
      </c>
      <c r="AI3" s="25">
        <v>2207.9309079999998</v>
      </c>
      <c r="AJ3" s="25">
        <v>2221.4790039999998</v>
      </c>
      <c r="AK3" s="25">
        <v>2233.226807</v>
      </c>
      <c r="AL3" s="25">
        <v>2245.991943</v>
      </c>
      <c r="AM3" s="25">
        <v>2260.9084469999998</v>
      </c>
      <c r="AN3" s="25">
        <v>2278.4465329999998</v>
      </c>
      <c r="AO3" s="13">
        <v>-1E-3</v>
      </c>
      <c r="AP3" s="27">
        <f>((AN3-E3)/E3)/36</f>
        <v>-1.8805029209838228E-4</v>
      </c>
      <c r="AQ3" s="26">
        <f>SUM(E3:AN3)</f>
        <v>80022.459227999978</v>
      </c>
      <c r="AR3" s="17"/>
      <c r="AS3" s="26">
        <f>SUM(O3:AN3)</f>
        <v>56758.707763000013</v>
      </c>
      <c r="AT3" s="77"/>
      <c r="AU3" s="17"/>
      <c r="AV3" s="13">
        <f>(2627.6-AN3)/2627.6</f>
        <v>0.13287923085705591</v>
      </c>
    </row>
    <row r="4" spans="1:48" s="6" customFormat="1" ht="28.8" x14ac:dyDescent="0.3">
      <c r="A4" s="42" t="s">
        <v>46</v>
      </c>
      <c r="B4" s="31" t="s">
        <v>37</v>
      </c>
      <c r="C4" s="6" t="s">
        <v>1</v>
      </c>
      <c r="D4" s="17" t="s">
        <v>27</v>
      </c>
      <c r="E4" s="25">
        <v>2293.976318</v>
      </c>
      <c r="F4" s="25">
        <v>2325.173828</v>
      </c>
      <c r="G4" s="25">
        <v>2327.0349120000001</v>
      </c>
      <c r="H4" s="25">
        <v>2353.9807129999999</v>
      </c>
      <c r="I4" s="25">
        <v>2353.7797850000002</v>
      </c>
      <c r="J4" s="25">
        <v>2344.991943</v>
      </c>
      <c r="K4" s="25">
        <v>2338.9460450000001</v>
      </c>
      <c r="L4" s="25">
        <v>2330.6735840000001</v>
      </c>
      <c r="M4" s="25">
        <v>2316.1879880000001</v>
      </c>
      <c r="N4" s="25">
        <v>2296.1623540000001</v>
      </c>
      <c r="O4" s="25">
        <v>2269.022461</v>
      </c>
      <c r="P4" s="25">
        <v>2244.1164549999999</v>
      </c>
      <c r="Q4" s="25">
        <v>2223.2163089999999</v>
      </c>
      <c r="R4" s="25">
        <v>2205.251221</v>
      </c>
      <c r="S4" s="25">
        <v>2190.6220699999999</v>
      </c>
      <c r="T4" s="25">
        <v>2176.4155270000001</v>
      </c>
      <c r="U4" s="25">
        <v>2160.943115</v>
      </c>
      <c r="V4" s="25">
        <v>2147.4653320000002</v>
      </c>
      <c r="W4" s="25">
        <v>2139.3500979999999</v>
      </c>
      <c r="X4" s="25">
        <v>2136.1640619999998</v>
      </c>
      <c r="Y4" s="25">
        <v>2135.9316410000001</v>
      </c>
      <c r="Z4" s="25">
        <v>2136.8559570000002</v>
      </c>
      <c r="AA4" s="25">
        <v>2141.1647950000001</v>
      </c>
      <c r="AB4" s="25">
        <v>2148.281982</v>
      </c>
      <c r="AC4" s="25">
        <v>2155.900635</v>
      </c>
      <c r="AD4" s="25">
        <v>2161.7360840000001</v>
      </c>
      <c r="AE4" s="25">
        <v>2168.4223630000001</v>
      </c>
      <c r="AF4" s="25">
        <v>2179.451172</v>
      </c>
      <c r="AG4" s="25">
        <v>2192.1755370000001</v>
      </c>
      <c r="AH4" s="25">
        <v>2205.4272460000002</v>
      </c>
      <c r="AI4" s="25">
        <v>2218.34375</v>
      </c>
      <c r="AJ4" s="25">
        <v>2231.6616210000002</v>
      </c>
      <c r="AK4" s="25">
        <v>2243.546143</v>
      </c>
      <c r="AL4" s="25">
        <v>2255.766357</v>
      </c>
      <c r="AM4" s="25">
        <v>2271.4506839999999</v>
      </c>
      <c r="AN4" s="25">
        <v>2289.4833979999999</v>
      </c>
      <c r="AO4" s="13">
        <v>0</v>
      </c>
      <c r="AP4" s="27">
        <f>((AN4-E4)/E4)/36</f>
        <v>-5.4404804598046957E-5</v>
      </c>
      <c r="AQ4" s="26">
        <f>SUM(E4:AN4)</f>
        <v>80309.073485000001</v>
      </c>
      <c r="AR4" s="45">
        <f>AQ4/190043.04</f>
        <v>0.42258360782378557</v>
      </c>
      <c r="AS4" s="26">
        <f>SUM(O4:AN4)</f>
        <v>57028.166014999995</v>
      </c>
      <c r="AT4" s="77"/>
      <c r="AU4" s="17"/>
      <c r="AV4" s="13">
        <f t="shared" ref="AV4:AV5" si="0">(2627.6-AN4)/2627.6</f>
        <v>0.12867887121327451</v>
      </c>
    </row>
    <row r="5" spans="1:48" s="6" customFormat="1" ht="28.8" x14ac:dyDescent="0.3">
      <c r="A5" s="42"/>
      <c r="B5" s="8" t="s">
        <v>47</v>
      </c>
      <c r="D5" s="17" t="s">
        <v>27</v>
      </c>
      <c r="E5" s="25">
        <f t="shared" ref="E5:N5" si="1">E4</f>
        <v>2293.976318</v>
      </c>
      <c r="F5" s="25">
        <f t="shared" si="1"/>
        <v>2325.173828</v>
      </c>
      <c r="G5" s="25">
        <f t="shared" si="1"/>
        <v>2327.0349120000001</v>
      </c>
      <c r="H5" s="25">
        <f t="shared" si="1"/>
        <v>2353.9807129999999</v>
      </c>
      <c r="I5" s="25">
        <f t="shared" si="1"/>
        <v>2353.7797850000002</v>
      </c>
      <c r="J5" s="25">
        <f t="shared" si="1"/>
        <v>2344.991943</v>
      </c>
      <c r="K5" s="25">
        <f t="shared" si="1"/>
        <v>2338.9460450000001</v>
      </c>
      <c r="L5" s="25">
        <f t="shared" si="1"/>
        <v>2330.6735840000001</v>
      </c>
      <c r="M5" s="25">
        <f t="shared" si="1"/>
        <v>2316.1879880000001</v>
      </c>
      <c r="N5" s="25">
        <f t="shared" si="1"/>
        <v>2296.1623540000001</v>
      </c>
      <c r="O5" s="52">
        <f>(O25*1000)*0.432</f>
        <v>2207.8671927839996</v>
      </c>
      <c r="P5" s="52">
        <f t="shared" ref="P5:AN5" si="2">(P25*1000)*0.432</f>
        <v>2140.2159927839998</v>
      </c>
      <c r="Q5" s="52">
        <f t="shared" si="2"/>
        <v>2072.564792784</v>
      </c>
      <c r="R5" s="52">
        <f t="shared" si="2"/>
        <v>2004.9135927839998</v>
      </c>
      <c r="S5" s="52">
        <f t="shared" si="2"/>
        <v>1937.2623927839995</v>
      </c>
      <c r="T5" s="52">
        <f t="shared" si="2"/>
        <v>1869.6111927839997</v>
      </c>
      <c r="U5" s="52">
        <f t="shared" si="2"/>
        <v>1801.9599927839997</v>
      </c>
      <c r="V5" s="52">
        <f t="shared" si="2"/>
        <v>1734.3087927839997</v>
      </c>
      <c r="W5" s="52">
        <f t="shared" si="2"/>
        <v>1666.6575927839995</v>
      </c>
      <c r="X5" s="52">
        <f t="shared" si="2"/>
        <v>1599.0063927839997</v>
      </c>
      <c r="Y5" s="52">
        <f t="shared" si="2"/>
        <v>1531.3551927839997</v>
      </c>
      <c r="Z5" s="52">
        <f t="shared" si="2"/>
        <v>1463.7039927839994</v>
      </c>
      <c r="AA5" s="52">
        <f t="shared" si="2"/>
        <v>1396.0527927839996</v>
      </c>
      <c r="AB5" s="52">
        <f t="shared" si="2"/>
        <v>1328.4015927839996</v>
      </c>
      <c r="AC5" s="52">
        <f t="shared" si="2"/>
        <v>1260.7503927839994</v>
      </c>
      <c r="AD5" s="52">
        <f t="shared" si="2"/>
        <v>1193.0991927839993</v>
      </c>
      <c r="AE5" s="52">
        <f t="shared" si="2"/>
        <v>1125.4479927839996</v>
      </c>
      <c r="AF5" s="52">
        <f t="shared" si="2"/>
        <v>1057.7967927839993</v>
      </c>
      <c r="AG5" s="52">
        <f t="shared" si="2"/>
        <v>990.1455927839994</v>
      </c>
      <c r="AH5" s="52">
        <f t="shared" si="2"/>
        <v>922.49439278399916</v>
      </c>
      <c r="AI5" s="52">
        <f t="shared" si="2"/>
        <v>854.84319278399926</v>
      </c>
      <c r="AJ5" s="52">
        <f t="shared" si="2"/>
        <v>787.19199278399924</v>
      </c>
      <c r="AK5" s="52">
        <f t="shared" si="2"/>
        <v>719.54079278399922</v>
      </c>
      <c r="AL5" s="52">
        <f t="shared" si="2"/>
        <v>651.88959278399921</v>
      </c>
      <c r="AM5" s="52">
        <f t="shared" si="2"/>
        <v>584.23839278399907</v>
      </c>
      <c r="AN5" s="52">
        <f t="shared" si="2"/>
        <v>516.58719278399917</v>
      </c>
      <c r="AO5" s="13"/>
      <c r="AP5" s="27">
        <f>((AN5-E5)/E5)/36</f>
        <v>-2.1522419284578209E-2</v>
      </c>
      <c r="AQ5" s="26">
        <f>SUM(E5:AN5)</f>
        <v>58698.814482384012</v>
      </c>
      <c r="AR5" s="17"/>
      <c r="AS5" s="32">
        <f>SUM(O5:AN5)</f>
        <v>35417.907012383985</v>
      </c>
      <c r="AT5" s="77"/>
      <c r="AU5" s="18">
        <f>AS5/AS4</f>
        <v>0.62105989877121581</v>
      </c>
      <c r="AV5" s="13">
        <f t="shared" si="0"/>
        <v>0.80339960694778523</v>
      </c>
    </row>
    <row r="6" spans="1:48" s="6" customFormat="1" x14ac:dyDescent="0.3">
      <c r="A6" s="17"/>
      <c r="B6" s="11"/>
      <c r="D6" s="17"/>
      <c r="E6" s="25"/>
      <c r="F6" s="25"/>
      <c r="G6" s="25"/>
      <c r="H6" s="25"/>
      <c r="I6" s="17"/>
      <c r="J6" s="18"/>
      <c r="K6" s="25"/>
      <c r="L6" s="25"/>
      <c r="M6" s="25"/>
      <c r="N6" s="81" t="s">
        <v>20</v>
      </c>
      <c r="O6" s="18">
        <f>O4/5256.05</f>
        <v>0.43169727475956277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13"/>
      <c r="AP6" s="27"/>
      <c r="AQ6" s="26"/>
      <c r="AR6" s="17"/>
      <c r="AS6" s="26"/>
      <c r="AT6" s="77"/>
      <c r="AU6" s="18"/>
    </row>
    <row r="7" spans="1:48" s="6" customFormat="1" x14ac:dyDescent="0.3">
      <c r="A7" s="17"/>
      <c r="B7" s="11"/>
      <c r="D7" s="17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13"/>
      <c r="AP7" s="27"/>
      <c r="AQ7" s="26"/>
      <c r="AR7" s="17"/>
      <c r="AS7" s="26"/>
      <c r="AT7" s="77"/>
      <c r="AU7" s="17"/>
    </row>
    <row r="8" spans="1:48" s="6" customFormat="1" ht="28.8" x14ac:dyDescent="0.3">
      <c r="A8" s="34"/>
      <c r="B8" s="33" t="s">
        <v>38</v>
      </c>
      <c r="C8" s="7" t="s">
        <v>14</v>
      </c>
      <c r="D8" s="17" t="s">
        <v>27</v>
      </c>
      <c r="E8" s="25">
        <v>1471.030029</v>
      </c>
      <c r="F8" s="25">
        <v>1492.9398189999999</v>
      </c>
      <c r="G8" s="25">
        <v>1497.7944339999999</v>
      </c>
      <c r="H8" s="25">
        <v>1509.1035159999999</v>
      </c>
      <c r="I8" s="25">
        <v>1493.6136469999999</v>
      </c>
      <c r="J8" s="25">
        <v>1464.1704099999999</v>
      </c>
      <c r="K8" s="25">
        <v>1456.8670649999999</v>
      </c>
      <c r="L8" s="25">
        <v>1455.330078</v>
      </c>
      <c r="M8" s="25">
        <v>1463.259644</v>
      </c>
      <c r="N8" s="25">
        <v>1486.3328859999999</v>
      </c>
      <c r="O8" s="25">
        <v>1511.5672609999999</v>
      </c>
      <c r="P8" s="25">
        <v>1534.044189</v>
      </c>
      <c r="Q8" s="25">
        <v>1541.6743160000001</v>
      </c>
      <c r="R8" s="25">
        <v>1554.546875</v>
      </c>
      <c r="S8" s="25">
        <v>1568.118408</v>
      </c>
      <c r="T8" s="25">
        <v>1577.2595209999999</v>
      </c>
      <c r="U8" s="25">
        <v>1575.6420900000001</v>
      </c>
      <c r="V8" s="25">
        <v>1587.5950929999999</v>
      </c>
      <c r="W8" s="25">
        <v>1595.7387699999999</v>
      </c>
      <c r="X8" s="25">
        <v>1617.990845</v>
      </c>
      <c r="Y8" s="25">
        <v>1643.6342770000001</v>
      </c>
      <c r="Z8" s="25">
        <v>1652.9814449999999</v>
      </c>
      <c r="AA8" s="25">
        <v>1671.2738039999999</v>
      </c>
      <c r="AB8" s="25">
        <v>1687.5457759999999</v>
      </c>
      <c r="AC8" s="25">
        <v>1701.928711</v>
      </c>
      <c r="AD8" s="25">
        <v>1710.671143</v>
      </c>
      <c r="AE8" s="25">
        <v>1724.9923100000001</v>
      </c>
      <c r="AF8" s="25">
        <v>1737.543457</v>
      </c>
      <c r="AG8" s="25">
        <v>1747.598389</v>
      </c>
      <c r="AH8" s="25">
        <v>1763.671143</v>
      </c>
      <c r="AI8" s="25">
        <v>1780.9948730000001</v>
      </c>
      <c r="AJ8" s="25">
        <v>1796.1560059999999</v>
      </c>
      <c r="AK8" s="25">
        <v>1812.0844729999999</v>
      </c>
      <c r="AL8" s="25">
        <v>1823.2250979999999</v>
      </c>
      <c r="AM8" s="25">
        <v>1833.2373050000001</v>
      </c>
      <c r="AN8" s="25">
        <v>1857.724976</v>
      </c>
      <c r="AO8" s="13">
        <v>6.0000000000000001E-3</v>
      </c>
      <c r="AP8" s="27">
        <f>((AN8-E8)/E8)/36</f>
        <v>7.302044209700871E-3</v>
      </c>
      <c r="AQ8" s="26">
        <f>SUM(E8:AN8)</f>
        <v>58399.882082000004</v>
      </c>
      <c r="AR8" s="17"/>
      <c r="AS8" s="26">
        <f>SUM(O8:AN8)</f>
        <v>43609.440554000001</v>
      </c>
      <c r="AT8" s="77"/>
      <c r="AU8" s="18"/>
      <c r="AV8" s="13">
        <f>(1175.2-AN8)/1175.2</f>
        <v>-0.58077346494213744</v>
      </c>
    </row>
    <row r="9" spans="1:48" s="6" customFormat="1" ht="28.8" x14ac:dyDescent="0.3">
      <c r="A9" s="15" t="s">
        <v>16</v>
      </c>
      <c r="B9" s="33" t="s">
        <v>39</v>
      </c>
      <c r="C9" s="6" t="s">
        <v>2</v>
      </c>
      <c r="D9" s="17" t="s">
        <v>27</v>
      </c>
      <c r="E9" s="25">
        <v>1471.030029</v>
      </c>
      <c r="F9" s="25">
        <v>1492.8579099999999</v>
      </c>
      <c r="G9" s="25">
        <v>1497.8508300000001</v>
      </c>
      <c r="H9" s="25">
        <v>1511.3950199999999</v>
      </c>
      <c r="I9" s="25">
        <v>1491.060913</v>
      </c>
      <c r="J9" s="25">
        <v>1466.1264650000001</v>
      </c>
      <c r="K9" s="25">
        <v>1456.971313</v>
      </c>
      <c r="L9" s="25">
        <v>1459.198486</v>
      </c>
      <c r="M9" s="25">
        <v>1471.014404</v>
      </c>
      <c r="N9" s="25">
        <v>1482.994751</v>
      </c>
      <c r="O9" s="25">
        <v>1502.7844239999999</v>
      </c>
      <c r="P9" s="25">
        <v>1518.3698730000001</v>
      </c>
      <c r="Q9" s="25">
        <v>1520.862793</v>
      </c>
      <c r="R9" s="25">
        <v>1526.0927730000001</v>
      </c>
      <c r="S9" s="25">
        <v>1528.9133300000001</v>
      </c>
      <c r="T9" s="25">
        <v>1530.2733149999999</v>
      </c>
      <c r="U9" s="25">
        <v>1535.610107</v>
      </c>
      <c r="V9" s="25">
        <v>1545.9975589999999</v>
      </c>
      <c r="W9" s="25">
        <v>1556.3118899999999</v>
      </c>
      <c r="X9" s="25">
        <v>1575.3367920000001</v>
      </c>
      <c r="Y9" s="25">
        <v>1598.4472659999999</v>
      </c>
      <c r="Z9" s="25">
        <v>1615.828491</v>
      </c>
      <c r="AA9" s="25">
        <v>1631.181885</v>
      </c>
      <c r="AB9" s="25">
        <v>1646.9267580000001</v>
      </c>
      <c r="AC9" s="25">
        <v>1667.0610349999999</v>
      </c>
      <c r="AD9" s="25">
        <v>1678.1347659999999</v>
      </c>
      <c r="AE9" s="25">
        <v>1689.733154</v>
      </c>
      <c r="AF9" s="25">
        <v>1698.081543</v>
      </c>
      <c r="AG9" s="25">
        <v>1709.346436</v>
      </c>
      <c r="AH9" s="25">
        <v>1725.5198969999999</v>
      </c>
      <c r="AI9" s="25">
        <v>1741.9301760000001</v>
      </c>
      <c r="AJ9" s="25">
        <v>1756.1831050000001</v>
      </c>
      <c r="AK9" s="25">
        <v>1770.748779</v>
      </c>
      <c r="AL9" s="25">
        <v>1782.039673</v>
      </c>
      <c r="AM9" s="25">
        <v>1793.5474850000001</v>
      </c>
      <c r="AN9" s="25">
        <v>1809.471558</v>
      </c>
      <c r="AO9" s="13">
        <v>6.0000000000000001E-3</v>
      </c>
      <c r="AP9" s="27">
        <f>((AN9-E9)/E9)/36</f>
        <v>6.3908644949445363E-3</v>
      </c>
      <c r="AQ9" s="26">
        <f>SUM(E9:AN9)</f>
        <v>57455.234983999995</v>
      </c>
      <c r="AR9" s="45">
        <f>AQ9/190043.04</f>
        <v>0.30232748846787544</v>
      </c>
      <c r="AS9" s="26">
        <f>SUM(O9:AN9)</f>
        <v>42654.734863000005</v>
      </c>
      <c r="AT9" s="77"/>
      <c r="AU9" s="18"/>
      <c r="AV9" s="13">
        <f t="shared" ref="AV9:AV10" si="3">(1175.2-AN9)/1175.2</f>
        <v>-0.53971371511232125</v>
      </c>
    </row>
    <row r="10" spans="1:48" s="17" customFormat="1" ht="28.8" x14ac:dyDescent="0.3">
      <c r="A10" s="34"/>
      <c r="B10" s="82" t="s">
        <v>40</v>
      </c>
      <c r="D10" s="17" t="s">
        <v>27</v>
      </c>
      <c r="E10" s="25">
        <f>E9</f>
        <v>1471.030029</v>
      </c>
      <c r="F10" s="25">
        <f t="shared" ref="F10:N10" si="4">F9</f>
        <v>1492.8579099999999</v>
      </c>
      <c r="G10" s="25">
        <f t="shared" si="4"/>
        <v>1497.8508300000001</v>
      </c>
      <c r="H10" s="25">
        <f t="shared" si="4"/>
        <v>1511.3950199999999</v>
      </c>
      <c r="I10" s="25">
        <f t="shared" si="4"/>
        <v>1491.060913</v>
      </c>
      <c r="J10" s="25">
        <f t="shared" si="4"/>
        <v>1466.1264650000001</v>
      </c>
      <c r="K10" s="25">
        <f t="shared" si="4"/>
        <v>1456.971313</v>
      </c>
      <c r="L10" s="25">
        <f t="shared" si="4"/>
        <v>1459.198486</v>
      </c>
      <c r="M10" s="25">
        <f t="shared" si="4"/>
        <v>1471.014404</v>
      </c>
      <c r="N10" s="25">
        <f t="shared" si="4"/>
        <v>1482.994751</v>
      </c>
      <c r="O10" s="41">
        <f>(O25*1000)*0.286</f>
        <v>1461.6898544819999</v>
      </c>
      <c r="P10" s="41">
        <f t="shared" ref="P10:AN10" si="5">(P25*1000)*0.286</f>
        <v>1416.9022544819998</v>
      </c>
      <c r="Q10" s="41">
        <f t="shared" si="5"/>
        <v>1372.1146544819999</v>
      </c>
      <c r="R10" s="41">
        <f t="shared" si="5"/>
        <v>1327.3270544819998</v>
      </c>
      <c r="S10" s="41">
        <f t="shared" si="5"/>
        <v>1282.5394544819997</v>
      </c>
      <c r="T10" s="41">
        <f t="shared" si="5"/>
        <v>1237.7518544819998</v>
      </c>
      <c r="U10" s="41">
        <f t="shared" si="5"/>
        <v>1192.9642544819997</v>
      </c>
      <c r="V10" s="41">
        <f t="shared" si="5"/>
        <v>1148.1766544819998</v>
      </c>
      <c r="W10" s="41">
        <f t="shared" si="5"/>
        <v>1103.3890544819997</v>
      </c>
      <c r="X10" s="41">
        <f t="shared" si="5"/>
        <v>1058.6014544819996</v>
      </c>
      <c r="Y10" s="41">
        <f t="shared" si="5"/>
        <v>1013.8138544819997</v>
      </c>
      <c r="Z10" s="41">
        <f t="shared" si="5"/>
        <v>969.02625448199956</v>
      </c>
      <c r="AA10" s="41">
        <f t="shared" si="5"/>
        <v>924.23865448199956</v>
      </c>
      <c r="AB10" s="41">
        <f t="shared" si="5"/>
        <v>879.45105448199968</v>
      </c>
      <c r="AC10" s="41">
        <f t="shared" si="5"/>
        <v>834.66345448199957</v>
      </c>
      <c r="AD10" s="41">
        <f t="shared" si="5"/>
        <v>789.87585448199957</v>
      </c>
      <c r="AE10" s="41">
        <f t="shared" si="5"/>
        <v>745.08825448199957</v>
      </c>
      <c r="AF10" s="41">
        <f t="shared" si="5"/>
        <v>700.30065448199946</v>
      </c>
      <c r="AG10" s="41">
        <f t="shared" si="5"/>
        <v>655.51305448199957</v>
      </c>
      <c r="AH10" s="41">
        <f t="shared" si="5"/>
        <v>610.72545448199946</v>
      </c>
      <c r="AI10" s="41">
        <f t="shared" si="5"/>
        <v>565.93785448199947</v>
      </c>
      <c r="AJ10" s="41">
        <f t="shared" si="5"/>
        <v>521.15025448199947</v>
      </c>
      <c r="AK10" s="41">
        <f t="shared" si="5"/>
        <v>476.36265448199947</v>
      </c>
      <c r="AL10" s="41">
        <f t="shared" si="5"/>
        <v>431.57505448199942</v>
      </c>
      <c r="AM10" s="41">
        <f t="shared" si="5"/>
        <v>386.78745448199936</v>
      </c>
      <c r="AN10" s="41">
        <f t="shared" si="5"/>
        <v>341.99985448199942</v>
      </c>
      <c r="AO10" s="13"/>
      <c r="AP10" s="27">
        <f>((AN10-E10)/E10)/36</f>
        <v>-2.1319720654163946E-2</v>
      </c>
      <c r="AQ10" s="26">
        <f>SUM(E10:AN10)</f>
        <v>38248.466337531987</v>
      </c>
      <c r="AS10" s="38">
        <f>SUM(O10:AN10)</f>
        <v>23447.966216531993</v>
      </c>
      <c r="AT10" s="77"/>
      <c r="AU10" s="18">
        <f t="shared" ref="AU10" si="6">AS10/AS9</f>
        <v>0.54971543702810499</v>
      </c>
      <c r="AV10" s="13">
        <f t="shared" si="3"/>
        <v>0.70898582838495627</v>
      </c>
    </row>
    <row r="11" spans="1:48" s="6" customFormat="1" x14ac:dyDescent="0.3">
      <c r="A11" s="17"/>
      <c r="B11" s="11"/>
      <c r="D11" s="17"/>
      <c r="E11" s="25"/>
      <c r="F11" s="25"/>
      <c r="G11" s="25"/>
      <c r="H11" s="25"/>
      <c r="I11" s="25"/>
      <c r="J11" s="18"/>
      <c r="K11" s="25"/>
      <c r="L11" s="25"/>
      <c r="M11" s="25"/>
      <c r="N11" s="81" t="s">
        <v>20</v>
      </c>
      <c r="O11" s="18">
        <f>O9/5256.05</f>
        <v>0.28591516899572872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13"/>
      <c r="AP11" s="27"/>
      <c r="AQ11" s="26"/>
      <c r="AR11" s="17"/>
      <c r="AS11" s="26"/>
      <c r="AT11" s="77"/>
      <c r="AU11" s="18"/>
    </row>
    <row r="12" spans="1:48" s="6" customFormat="1" x14ac:dyDescent="0.3">
      <c r="A12" s="17"/>
      <c r="B12" s="11"/>
      <c r="D12" s="17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13"/>
      <c r="AP12" s="27"/>
      <c r="AQ12" s="26"/>
      <c r="AR12" s="17"/>
      <c r="AS12" s="26"/>
      <c r="AT12" s="77"/>
      <c r="AU12" s="17"/>
    </row>
    <row r="13" spans="1:48" s="6" customFormat="1" ht="28.8" x14ac:dyDescent="0.3">
      <c r="A13" s="19"/>
      <c r="B13" s="12" t="s">
        <v>42</v>
      </c>
      <c r="C13" s="7" t="s">
        <v>18</v>
      </c>
      <c r="D13" s="17" t="s">
        <v>27</v>
      </c>
      <c r="E13" s="17">
        <v>1482.580078</v>
      </c>
      <c r="F13" s="17">
        <v>1327.3876949999999</v>
      </c>
      <c r="G13" s="17">
        <v>1346.4801030000001</v>
      </c>
      <c r="H13" s="17">
        <v>1347.4742429999999</v>
      </c>
      <c r="I13" s="17">
        <v>1413.0173339999999</v>
      </c>
      <c r="J13" s="17">
        <v>1451.477905</v>
      </c>
      <c r="K13" s="17">
        <v>1423.947388</v>
      </c>
      <c r="L13" s="17">
        <v>1375.999268</v>
      </c>
      <c r="M13" s="17">
        <v>1354.994995</v>
      </c>
      <c r="N13" s="17">
        <v>1323.0698239999999</v>
      </c>
      <c r="O13" s="17">
        <v>1284.1755370000001</v>
      </c>
      <c r="P13" s="17">
        <v>1240.799683</v>
      </c>
      <c r="Q13" s="17">
        <v>1199.5527340000001</v>
      </c>
      <c r="R13" s="17">
        <v>1163.7910159999999</v>
      </c>
      <c r="S13" s="17">
        <v>1128.6960449999999</v>
      </c>
      <c r="T13" s="17">
        <v>1098.6110839999999</v>
      </c>
      <c r="U13" s="17">
        <v>1095.3120120000001</v>
      </c>
      <c r="V13" s="17">
        <v>1082.3901370000001</v>
      </c>
      <c r="W13" s="17">
        <v>1078.0117190000001</v>
      </c>
      <c r="X13" s="17">
        <v>1062.7320560000001</v>
      </c>
      <c r="Y13" s="17">
        <v>1045.2208250000001</v>
      </c>
      <c r="Z13" s="17">
        <v>1044.3320309999999</v>
      </c>
      <c r="AA13" s="17">
        <v>1030.6521</v>
      </c>
      <c r="AB13" s="17">
        <v>1018.052551</v>
      </c>
      <c r="AC13" s="17">
        <v>1010.356995</v>
      </c>
      <c r="AD13" s="17">
        <v>1004.88446</v>
      </c>
      <c r="AE13" s="17">
        <v>996.188354</v>
      </c>
      <c r="AF13" s="17">
        <v>989.56719999999996</v>
      </c>
      <c r="AG13" s="17">
        <v>986.61749299999997</v>
      </c>
      <c r="AH13" s="17">
        <v>977.80902100000003</v>
      </c>
      <c r="AI13" s="17">
        <v>967.87274200000002</v>
      </c>
      <c r="AJ13" s="17">
        <v>963.14581299999998</v>
      </c>
      <c r="AK13" s="17">
        <v>956.24114999999995</v>
      </c>
      <c r="AL13" s="17">
        <v>952.17816200000004</v>
      </c>
      <c r="AM13" s="17">
        <v>950.21893299999999</v>
      </c>
      <c r="AN13" s="17">
        <v>936.46038799999997</v>
      </c>
      <c r="AO13" s="13">
        <v>-0.01</v>
      </c>
      <c r="AP13" s="27">
        <f>((AN13-E13)/E13)/36</f>
        <v>-1.0232156504728702E-2</v>
      </c>
      <c r="AQ13" s="26">
        <f>SUM(E13:AN13)</f>
        <v>41110.299073999995</v>
      </c>
      <c r="AR13" s="17"/>
      <c r="AS13" s="26">
        <f>SUM(O13:AN13)</f>
        <v>27263.870241000008</v>
      </c>
      <c r="AT13" s="77"/>
      <c r="AU13" s="17"/>
      <c r="AV13" s="13">
        <f>(2181.9-AN13)/2181.9</f>
        <v>0.57080508364269678</v>
      </c>
    </row>
    <row r="14" spans="1:48" s="6" customFormat="1" ht="28.8" x14ac:dyDescent="0.3">
      <c r="A14" s="16" t="s">
        <v>17</v>
      </c>
      <c r="B14" s="12" t="s">
        <v>43</v>
      </c>
      <c r="C14" s="6" t="s">
        <v>3</v>
      </c>
      <c r="D14" s="17" t="s">
        <v>27</v>
      </c>
      <c r="E14" s="25">
        <v>1482.580078</v>
      </c>
      <c r="F14" s="25">
        <v>1327.380981</v>
      </c>
      <c r="G14" s="25">
        <v>1346.278564</v>
      </c>
      <c r="H14" s="25">
        <v>1341.345947</v>
      </c>
      <c r="I14" s="25">
        <v>1421.1082759999999</v>
      </c>
      <c r="J14" s="25">
        <v>1465.15625</v>
      </c>
      <c r="K14" s="25">
        <v>1452.7467039999999</v>
      </c>
      <c r="L14" s="25">
        <v>1464.250732</v>
      </c>
      <c r="M14" s="25">
        <v>1472.066284</v>
      </c>
      <c r="N14" s="25">
        <v>1488.246582</v>
      </c>
      <c r="O14" s="25">
        <v>1484.2457280000001</v>
      </c>
      <c r="P14" s="25">
        <v>1476.356812</v>
      </c>
      <c r="Q14" s="25">
        <v>1481.938232</v>
      </c>
      <c r="R14" s="25">
        <v>1484.790894</v>
      </c>
      <c r="S14" s="25">
        <v>1492.668457</v>
      </c>
      <c r="T14" s="25">
        <v>1492.244751</v>
      </c>
      <c r="U14" s="25">
        <v>1483.4288329999999</v>
      </c>
      <c r="V14" s="25">
        <v>1475.696899</v>
      </c>
      <c r="W14" s="25">
        <v>1469.246216</v>
      </c>
      <c r="X14" s="25">
        <v>1464.6376949999999</v>
      </c>
      <c r="Y14" s="25">
        <v>1462.3208010000001</v>
      </c>
      <c r="Z14" s="25">
        <v>1457.0623780000001</v>
      </c>
      <c r="AA14" s="25">
        <v>1459.8967290000001</v>
      </c>
      <c r="AB14" s="25">
        <v>1462.7795410000001</v>
      </c>
      <c r="AC14" s="25">
        <v>1453.356567</v>
      </c>
      <c r="AD14" s="25">
        <v>1445.774048</v>
      </c>
      <c r="AE14" s="25">
        <v>1440.2388920000001</v>
      </c>
      <c r="AF14" s="25">
        <v>1438.412231</v>
      </c>
      <c r="AG14" s="25">
        <v>1442.4520259999999</v>
      </c>
      <c r="AH14" s="25">
        <v>1444.4270019999999</v>
      </c>
      <c r="AI14" s="25">
        <v>1447.5439449999999</v>
      </c>
      <c r="AJ14" s="25">
        <v>1449.81897</v>
      </c>
      <c r="AK14" s="25">
        <v>1451.4921879999999</v>
      </c>
      <c r="AL14" s="25">
        <v>1450.824341</v>
      </c>
      <c r="AM14" s="25">
        <v>1451.0701899999999</v>
      </c>
      <c r="AN14" s="25">
        <v>1454.8452150000001</v>
      </c>
      <c r="AO14" s="13">
        <v>3.0000000000000001E-3</v>
      </c>
      <c r="AP14" s="27">
        <f>((AN14-E14)/E14)/36</f>
        <v>-5.19643338355386E-4</v>
      </c>
      <c r="AQ14" s="26">
        <f>SUM(E14:AN14)</f>
        <v>52278.729978999996</v>
      </c>
      <c r="AR14" s="45">
        <f>AQ14/190043.04</f>
        <v>0.27508889554176774</v>
      </c>
      <c r="AS14" s="26">
        <f>SUM(O14:AN14)</f>
        <v>38017.569580999996</v>
      </c>
      <c r="AT14" s="77"/>
      <c r="AU14" s="18"/>
      <c r="AV14" s="13">
        <f t="shared" ref="AV14:AV15" si="7">(2181.9-AN14)/2181.9</f>
        <v>0.33322094733947477</v>
      </c>
    </row>
    <row r="15" spans="1:48" s="7" customFormat="1" ht="28.8" x14ac:dyDescent="0.3">
      <c r="A15" s="43"/>
      <c r="B15" s="44" t="s">
        <v>41</v>
      </c>
      <c r="D15" s="17" t="s">
        <v>27</v>
      </c>
      <c r="E15" s="25">
        <v>1482.580078</v>
      </c>
      <c r="F15" s="25">
        <v>1327.380981</v>
      </c>
      <c r="G15" s="25">
        <v>1346.278564</v>
      </c>
      <c r="H15" s="25">
        <v>1341.345947</v>
      </c>
      <c r="I15" s="25">
        <v>1421.1082759999999</v>
      </c>
      <c r="J15" s="25">
        <f>J14</f>
        <v>1465.15625</v>
      </c>
      <c r="K15" s="25">
        <f t="shared" ref="K15:N15" si="8">K14</f>
        <v>1452.7467039999999</v>
      </c>
      <c r="L15" s="25">
        <f t="shared" si="8"/>
        <v>1464.250732</v>
      </c>
      <c r="M15" s="25">
        <f t="shared" si="8"/>
        <v>1472.066284</v>
      </c>
      <c r="N15" s="25">
        <f t="shared" si="8"/>
        <v>1488.246582</v>
      </c>
      <c r="O15" s="53">
        <f>(O25*1000)*0.282</f>
        <v>1441.2466397339997</v>
      </c>
      <c r="P15" s="53">
        <f t="shared" ref="P15:AN15" si="9">(P25*1000)*0.282</f>
        <v>1397.0854397339997</v>
      </c>
      <c r="Q15" s="53">
        <f t="shared" si="9"/>
        <v>1352.9242397339999</v>
      </c>
      <c r="R15" s="53">
        <f t="shared" si="9"/>
        <v>1308.7630397339997</v>
      </c>
      <c r="S15" s="53">
        <f t="shared" si="9"/>
        <v>1264.6018397339997</v>
      </c>
      <c r="T15" s="53">
        <f t="shared" si="9"/>
        <v>1220.4406397339999</v>
      </c>
      <c r="U15" s="53">
        <f t="shared" si="9"/>
        <v>1176.2794397339997</v>
      </c>
      <c r="V15" s="53">
        <f t="shared" si="9"/>
        <v>1132.1182397339996</v>
      </c>
      <c r="W15" s="53">
        <f t="shared" si="9"/>
        <v>1087.9570397339996</v>
      </c>
      <c r="X15" s="53">
        <f t="shared" si="9"/>
        <v>1043.7958397339996</v>
      </c>
      <c r="Y15" s="53">
        <f t="shared" si="9"/>
        <v>999.63463973399962</v>
      </c>
      <c r="Z15" s="53">
        <f t="shared" si="9"/>
        <v>955.47343973399961</v>
      </c>
      <c r="AA15" s="53">
        <f t="shared" si="9"/>
        <v>911.3122397339996</v>
      </c>
      <c r="AB15" s="53">
        <f t="shared" si="9"/>
        <v>867.1510397339996</v>
      </c>
      <c r="AC15" s="53">
        <f t="shared" si="9"/>
        <v>822.98983973399959</v>
      </c>
      <c r="AD15" s="53">
        <f t="shared" si="9"/>
        <v>778.82863973399958</v>
      </c>
      <c r="AE15" s="53">
        <f t="shared" si="9"/>
        <v>734.66743973399957</v>
      </c>
      <c r="AF15" s="53">
        <f t="shared" si="9"/>
        <v>690.50623973399945</v>
      </c>
      <c r="AG15" s="53">
        <f t="shared" si="9"/>
        <v>646.34503973399956</v>
      </c>
      <c r="AH15" s="53">
        <f t="shared" si="9"/>
        <v>602.18383973399943</v>
      </c>
      <c r="AI15" s="53">
        <f t="shared" si="9"/>
        <v>558.02263973399943</v>
      </c>
      <c r="AJ15" s="53">
        <f t="shared" si="9"/>
        <v>513.86143973399953</v>
      </c>
      <c r="AK15" s="53">
        <f t="shared" si="9"/>
        <v>469.70023973399947</v>
      </c>
      <c r="AL15" s="53">
        <f t="shared" si="9"/>
        <v>425.5390397339994</v>
      </c>
      <c r="AM15" s="53">
        <f t="shared" si="9"/>
        <v>381.37783973399939</v>
      </c>
      <c r="AN15" s="53">
        <f t="shared" si="9"/>
        <v>337.21663973399939</v>
      </c>
      <c r="AO15" s="25"/>
      <c r="AP15" s="27">
        <f>((AN15-E15)/E15)/36</f>
        <v>-2.1459651006415628E-2</v>
      </c>
      <c r="AQ15" s="26">
        <f>SUM(E15:AN15)</f>
        <v>37381.18303108398</v>
      </c>
      <c r="AR15" s="17"/>
      <c r="AS15" s="46">
        <f>SUM(O15:AN15)</f>
        <v>23120.022633083987</v>
      </c>
      <c r="AT15" s="77"/>
      <c r="AU15" s="18">
        <f t="shared" ref="AU15" si="10">AS15/AS14</f>
        <v>0.60814046999571114</v>
      </c>
      <c r="AV15" s="13">
        <f t="shared" si="7"/>
        <v>0.8454481691489073</v>
      </c>
    </row>
    <row r="16" spans="1:48" s="6" customFormat="1" x14ac:dyDescent="0.3">
      <c r="A16" s="17"/>
      <c r="B16" s="11"/>
      <c r="D16" s="17"/>
      <c r="E16" s="25"/>
      <c r="F16" s="25"/>
      <c r="G16" s="25"/>
      <c r="H16" s="25"/>
      <c r="I16" s="25"/>
      <c r="J16" s="18"/>
      <c r="K16" s="25"/>
      <c r="L16" s="25"/>
      <c r="M16" s="25"/>
      <c r="N16" s="81" t="s">
        <v>20</v>
      </c>
      <c r="O16" s="27">
        <f>O14/5256.05</f>
        <v>0.28238805338609796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1"/>
      <c r="AP16" s="27"/>
      <c r="AQ16" s="26"/>
      <c r="AR16" s="17"/>
      <c r="AS16" s="26"/>
      <c r="AT16" s="77"/>
      <c r="AU16" s="18"/>
    </row>
    <row r="17" spans="1:49" s="6" customFormat="1" x14ac:dyDescent="0.3">
      <c r="A17" s="17"/>
      <c r="B17" s="11"/>
      <c r="D17" s="17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1"/>
      <c r="AP17" s="27"/>
      <c r="AQ17" s="26"/>
      <c r="AR17" s="17"/>
      <c r="AS17" s="26"/>
      <c r="AT17" s="77"/>
      <c r="AU17" s="17"/>
    </row>
    <row r="18" spans="1:49" x14ac:dyDescent="0.3">
      <c r="A18" s="28" t="s">
        <v>60</v>
      </c>
      <c r="B18" s="29" t="s">
        <v>44</v>
      </c>
      <c r="D18" s="17" t="s">
        <v>27</v>
      </c>
      <c r="E18" s="25">
        <f>E3+E8+E13</f>
        <v>5247.5864249999995</v>
      </c>
      <c r="F18" s="25">
        <f t="shared" ref="F18:AN20" si="11">F3+F8+F13</f>
        <v>5145.5045159999991</v>
      </c>
      <c r="G18" s="25">
        <f t="shared" si="11"/>
        <v>5171.3094490000003</v>
      </c>
      <c r="H18" s="25">
        <f t="shared" si="11"/>
        <v>5210.6546629999993</v>
      </c>
      <c r="I18" s="25">
        <f t="shared" si="11"/>
        <v>5260.3677969999999</v>
      </c>
      <c r="J18" s="25">
        <f t="shared" si="11"/>
        <v>5260.1634519999998</v>
      </c>
      <c r="K18" s="25">
        <f t="shared" si="11"/>
        <v>5218.6213379999999</v>
      </c>
      <c r="L18" s="25">
        <f t="shared" si="11"/>
        <v>5158.5769049999999</v>
      </c>
      <c r="M18" s="25">
        <f t="shared" si="11"/>
        <v>5129.119385</v>
      </c>
      <c r="N18" s="25">
        <f t="shared" si="11"/>
        <v>5098.7178960000001</v>
      </c>
      <c r="O18" s="25">
        <f t="shared" si="11"/>
        <v>5057.0340580000002</v>
      </c>
      <c r="P18" s="25">
        <f t="shared" si="11"/>
        <v>5009.9017329999997</v>
      </c>
      <c r="Q18" s="25">
        <f t="shared" si="11"/>
        <v>4953.7619620000005</v>
      </c>
      <c r="R18" s="25">
        <f t="shared" si="11"/>
        <v>4911.4973149999996</v>
      </c>
      <c r="S18" s="25">
        <f t="shared" si="11"/>
        <v>4874.5385740000002</v>
      </c>
      <c r="T18" s="25">
        <f t="shared" si="11"/>
        <v>4839.3657219999996</v>
      </c>
      <c r="U18" s="25">
        <f t="shared" si="11"/>
        <v>4820.5339360000007</v>
      </c>
      <c r="V18" s="25">
        <f t="shared" si="11"/>
        <v>4806.9180909999995</v>
      </c>
      <c r="W18" s="25">
        <f t="shared" si="11"/>
        <v>4803.2607429999998</v>
      </c>
      <c r="X18" s="25">
        <f t="shared" si="11"/>
        <v>4807.7595220000003</v>
      </c>
      <c r="Y18" s="25">
        <f t="shared" si="11"/>
        <v>4815.596313</v>
      </c>
      <c r="Z18" s="25">
        <f t="shared" si="11"/>
        <v>4824.9133299999994</v>
      </c>
      <c r="AA18" s="25">
        <f t="shared" si="11"/>
        <v>4833.3306890000003</v>
      </c>
      <c r="AB18" s="25">
        <f t="shared" si="11"/>
        <v>4843.4977410000001</v>
      </c>
      <c r="AC18" s="25">
        <f t="shared" si="11"/>
        <v>4857.650208</v>
      </c>
      <c r="AD18" s="25">
        <f t="shared" si="11"/>
        <v>4866.8219600000002</v>
      </c>
      <c r="AE18" s="25">
        <f t="shared" si="11"/>
        <v>4879.7175290000005</v>
      </c>
      <c r="AF18" s="25">
        <f t="shared" si="11"/>
        <v>4895.9627079999991</v>
      </c>
      <c r="AG18" s="25">
        <f t="shared" si="11"/>
        <v>4915.9878549999994</v>
      </c>
      <c r="AH18" s="25">
        <f t="shared" si="11"/>
        <v>4936.4450080000006</v>
      </c>
      <c r="AI18" s="25">
        <f t="shared" si="11"/>
        <v>4956.7985229999995</v>
      </c>
      <c r="AJ18" s="25">
        <f t="shared" si="11"/>
        <v>4980.7808230000001</v>
      </c>
      <c r="AK18" s="25">
        <f t="shared" si="11"/>
        <v>5001.5524299999997</v>
      </c>
      <c r="AL18" s="25">
        <f t="shared" si="11"/>
        <v>5021.395203</v>
      </c>
      <c r="AM18" s="25">
        <f t="shared" si="11"/>
        <v>5044.3646849999996</v>
      </c>
      <c r="AN18" s="25">
        <f t="shared" si="11"/>
        <v>5072.6318969999993</v>
      </c>
      <c r="AP18" s="27">
        <f>((AN18-E18)/E18)/36</f>
        <v>-9.2611109306313258E-4</v>
      </c>
      <c r="AQ18" s="26">
        <f>SUM(E18:AN18)</f>
        <v>179532.64038400003</v>
      </c>
      <c r="AS18" s="26">
        <f t="shared" ref="AS18:AS20" si="12">SUM(O18:AN18)</f>
        <v>127632.01855799998</v>
      </c>
      <c r="AT18" s="77"/>
      <c r="AU18" s="18">
        <f>AS18/AS19</f>
        <v>0.9268814996242305</v>
      </c>
      <c r="AV18" s="13">
        <f>(5984.8-AN18)/5984.8</f>
        <v>0.1524141329701913</v>
      </c>
    </row>
    <row r="19" spans="1:49" x14ac:dyDescent="0.3">
      <c r="A19" s="28" t="s">
        <v>60</v>
      </c>
      <c r="B19" s="29" t="s">
        <v>45</v>
      </c>
      <c r="D19" s="17" t="s">
        <v>27</v>
      </c>
      <c r="E19" s="25">
        <f>E4+E9+E14</f>
        <v>5247.5864249999995</v>
      </c>
      <c r="F19" s="25">
        <f t="shared" si="11"/>
        <v>5145.4127189999999</v>
      </c>
      <c r="G19" s="25">
        <f t="shared" si="11"/>
        <v>5171.1643060000006</v>
      </c>
      <c r="H19" s="25">
        <f t="shared" si="11"/>
        <v>5206.7216799999997</v>
      </c>
      <c r="I19" s="25">
        <f t="shared" si="11"/>
        <v>5265.9489739999999</v>
      </c>
      <c r="J19" s="25">
        <f t="shared" si="11"/>
        <v>5276.2746580000003</v>
      </c>
      <c r="K19" s="25">
        <f t="shared" si="11"/>
        <v>5248.6640619999998</v>
      </c>
      <c r="L19" s="25">
        <f t="shared" si="11"/>
        <v>5254.1228019999999</v>
      </c>
      <c r="M19" s="25">
        <f t="shared" si="11"/>
        <v>5259.2686759999997</v>
      </c>
      <c r="N19" s="25">
        <f t="shared" si="11"/>
        <v>5267.403687</v>
      </c>
      <c r="O19" s="25">
        <f t="shared" si="11"/>
        <v>5256.0526129999998</v>
      </c>
      <c r="P19" s="25">
        <f t="shared" si="11"/>
        <v>5238.8431399999999</v>
      </c>
      <c r="Q19" s="25">
        <f t="shared" si="11"/>
        <v>5226.0173340000001</v>
      </c>
      <c r="R19" s="25">
        <f t="shared" si="11"/>
        <v>5216.1348879999996</v>
      </c>
      <c r="S19" s="25">
        <f t="shared" si="11"/>
        <v>5212.2038569999995</v>
      </c>
      <c r="T19" s="25">
        <f t="shared" si="11"/>
        <v>5198.9335929999997</v>
      </c>
      <c r="U19" s="25">
        <f t="shared" si="11"/>
        <v>5179.9820550000004</v>
      </c>
      <c r="V19" s="25">
        <f t="shared" si="11"/>
        <v>5169.1597899999997</v>
      </c>
      <c r="W19" s="25">
        <f t="shared" si="11"/>
        <v>5164.9082039999994</v>
      </c>
      <c r="X19" s="25">
        <f t="shared" si="11"/>
        <v>5176.1385489999993</v>
      </c>
      <c r="Y19" s="25">
        <f t="shared" si="11"/>
        <v>5196.6997080000001</v>
      </c>
      <c r="Z19" s="25">
        <f t="shared" si="11"/>
        <v>5209.7468260000005</v>
      </c>
      <c r="AA19" s="25">
        <f t="shared" si="11"/>
        <v>5232.2434090000006</v>
      </c>
      <c r="AB19" s="25">
        <f t="shared" si="11"/>
        <v>5257.9882809999999</v>
      </c>
      <c r="AC19" s="25">
        <f t="shared" si="11"/>
        <v>5276.3182369999995</v>
      </c>
      <c r="AD19" s="25">
        <f t="shared" si="11"/>
        <v>5285.6448980000005</v>
      </c>
      <c r="AE19" s="25">
        <f t="shared" si="11"/>
        <v>5298.3944090000005</v>
      </c>
      <c r="AF19" s="25">
        <f t="shared" si="11"/>
        <v>5315.9449460000005</v>
      </c>
      <c r="AG19" s="25">
        <f t="shared" si="11"/>
        <v>5343.9739989999998</v>
      </c>
      <c r="AH19" s="25">
        <f t="shared" si="11"/>
        <v>5375.3741449999998</v>
      </c>
      <c r="AI19" s="25">
        <f t="shared" si="11"/>
        <v>5407.8178709999993</v>
      </c>
      <c r="AJ19" s="25">
        <f t="shared" si="11"/>
        <v>5437.6636960000005</v>
      </c>
      <c r="AK19" s="25">
        <f t="shared" si="11"/>
        <v>5465.7871100000002</v>
      </c>
      <c r="AL19" s="25">
        <f t="shared" si="11"/>
        <v>5488.6303709999993</v>
      </c>
      <c r="AM19" s="25">
        <f t="shared" si="11"/>
        <v>5516.0683589999999</v>
      </c>
      <c r="AN19" s="25">
        <f t="shared" si="11"/>
        <v>5553.8001709999999</v>
      </c>
      <c r="AO19" s="1"/>
      <c r="AP19" s="27">
        <f>((AN19-E19)/E19)/36</f>
        <v>1.6209237352177385E-3</v>
      </c>
      <c r="AQ19" s="26">
        <f>SUM(E19:AN19)</f>
        <v>190043.03844800004</v>
      </c>
      <c r="AS19" s="26">
        <f t="shared" si="12"/>
        <v>137700.470459</v>
      </c>
      <c r="AT19" s="77"/>
      <c r="AU19" s="18">
        <f t="shared" ref="AU19" si="13">AS19/AS18</f>
        <v>1.0788865679220188</v>
      </c>
      <c r="AV19" s="13">
        <f t="shared" ref="AV19:AV20" si="14">(5984.8-AN19)/5984.8</f>
        <v>7.2015744719957281E-2</v>
      </c>
    </row>
    <row r="20" spans="1:49" x14ac:dyDescent="0.3">
      <c r="A20" s="28" t="s">
        <v>60</v>
      </c>
      <c r="B20" s="9" t="s">
        <v>30</v>
      </c>
      <c r="D20" s="17" t="s">
        <v>27</v>
      </c>
      <c r="E20" s="25">
        <f t="shared" ref="E20:I20" si="15">E19</f>
        <v>5247.5864249999995</v>
      </c>
      <c r="F20" s="25">
        <f t="shared" si="15"/>
        <v>5145.4127189999999</v>
      </c>
      <c r="G20" s="25">
        <f t="shared" si="15"/>
        <v>5171.1643060000006</v>
      </c>
      <c r="H20" s="25">
        <f t="shared" si="15"/>
        <v>5206.7216799999997</v>
      </c>
      <c r="I20" s="25">
        <f t="shared" si="15"/>
        <v>5265.9489739999999</v>
      </c>
      <c r="J20" s="25">
        <f t="shared" si="11"/>
        <v>5276.2746580000003</v>
      </c>
      <c r="K20" s="25">
        <f t="shared" si="11"/>
        <v>5248.6640619999998</v>
      </c>
      <c r="L20" s="25">
        <f t="shared" si="11"/>
        <v>5254.1228019999999</v>
      </c>
      <c r="M20" s="25">
        <f t="shared" si="11"/>
        <v>5259.2686759999997</v>
      </c>
      <c r="N20" s="25">
        <f t="shared" si="11"/>
        <v>5267.403687</v>
      </c>
      <c r="O20" s="47">
        <f t="shared" si="11"/>
        <v>5110.8036869999987</v>
      </c>
      <c r="P20" s="47">
        <f t="shared" si="11"/>
        <v>4954.2036869999993</v>
      </c>
      <c r="Q20" s="47">
        <f t="shared" si="11"/>
        <v>4797.6036869999998</v>
      </c>
      <c r="R20" s="47">
        <f t="shared" si="11"/>
        <v>4641.0036869999994</v>
      </c>
      <c r="S20" s="47">
        <f t="shared" si="11"/>
        <v>4484.4036869999991</v>
      </c>
      <c r="T20" s="47">
        <f t="shared" si="11"/>
        <v>4327.8036869999996</v>
      </c>
      <c r="U20" s="47">
        <f t="shared" si="11"/>
        <v>4171.2036869999993</v>
      </c>
      <c r="V20" s="47">
        <f t="shared" si="11"/>
        <v>4014.6036869999989</v>
      </c>
      <c r="W20" s="47">
        <f t="shared" si="11"/>
        <v>3858.0036869999985</v>
      </c>
      <c r="X20" s="47">
        <f t="shared" si="11"/>
        <v>3701.4036869999991</v>
      </c>
      <c r="Y20" s="47">
        <f t="shared" si="11"/>
        <v>3544.8036869999987</v>
      </c>
      <c r="Z20" s="47">
        <f t="shared" si="11"/>
        <v>3388.2036869999984</v>
      </c>
      <c r="AA20" s="47">
        <f t="shared" si="11"/>
        <v>3231.6036869999989</v>
      </c>
      <c r="AB20" s="47">
        <f t="shared" si="11"/>
        <v>3075.0036869999985</v>
      </c>
      <c r="AC20" s="47">
        <f t="shared" si="11"/>
        <v>2918.4036869999982</v>
      </c>
      <c r="AD20" s="47">
        <f t="shared" si="11"/>
        <v>2761.8036869999987</v>
      </c>
      <c r="AE20" s="47">
        <f t="shared" si="11"/>
        <v>2605.2036869999984</v>
      </c>
      <c r="AF20" s="47">
        <f t="shared" si="11"/>
        <v>2448.603686999998</v>
      </c>
      <c r="AG20" s="47">
        <f t="shared" si="11"/>
        <v>2292.0036869999985</v>
      </c>
      <c r="AH20" s="47">
        <f t="shared" si="11"/>
        <v>2135.4036869999982</v>
      </c>
      <c r="AI20" s="47">
        <f t="shared" si="11"/>
        <v>1978.8036869999983</v>
      </c>
      <c r="AJ20" s="47">
        <f t="shared" si="11"/>
        <v>1822.2036869999981</v>
      </c>
      <c r="AK20" s="47">
        <f t="shared" si="11"/>
        <v>1665.6036869999982</v>
      </c>
      <c r="AL20" s="47">
        <f t="shared" si="11"/>
        <v>1509.0036869999981</v>
      </c>
      <c r="AM20" s="47">
        <f t="shared" si="11"/>
        <v>1352.4036869999977</v>
      </c>
      <c r="AN20" s="47">
        <f t="shared" si="11"/>
        <v>1195.8036869999978</v>
      </c>
      <c r="AP20" s="27">
        <f>((AN20-E20)/E20)/36</f>
        <v>-2.144786410068512E-2</v>
      </c>
      <c r="AQ20" s="26">
        <f>SUM(E20:AN20)</f>
        <v>134328.46385099995</v>
      </c>
      <c r="AS20" s="30">
        <f t="shared" si="12"/>
        <v>81985.895861999961</v>
      </c>
      <c r="AT20" s="77"/>
      <c r="AU20" s="18">
        <f>AS20/AS19</f>
        <v>0.59539299748733299</v>
      </c>
      <c r="AV20" s="13">
        <f t="shared" si="14"/>
        <v>0.80019320829434604</v>
      </c>
    </row>
    <row r="21" spans="1:49" x14ac:dyDescent="0.3">
      <c r="AS21" s="40"/>
      <c r="AT21" s="79"/>
    </row>
    <row r="22" spans="1:49" x14ac:dyDescent="0.3">
      <c r="B22" s="10"/>
      <c r="AT22" s="80"/>
    </row>
    <row r="23" spans="1:49" ht="28.8" x14ac:dyDescent="0.3">
      <c r="A23" s="28" t="s">
        <v>60</v>
      </c>
      <c r="B23" s="28" t="s">
        <v>59</v>
      </c>
      <c r="D23" s="17" t="s">
        <v>4</v>
      </c>
      <c r="E23" s="25">
        <f>E19/1000</f>
        <v>5.2475864249999997</v>
      </c>
      <c r="F23" s="25">
        <f t="shared" ref="F23:AN24" si="16">F19/1000</f>
        <v>5.1454127190000003</v>
      </c>
      <c r="G23" s="25">
        <f t="shared" si="16"/>
        <v>5.1711643060000005</v>
      </c>
      <c r="H23" s="25">
        <f t="shared" si="16"/>
        <v>5.2067216799999994</v>
      </c>
      <c r="I23" s="25">
        <f t="shared" si="16"/>
        <v>5.2659489739999996</v>
      </c>
      <c r="J23" s="25">
        <f>J19/1000</f>
        <v>5.2762746580000002</v>
      </c>
      <c r="K23" s="25">
        <f t="shared" si="16"/>
        <v>5.2486640619999996</v>
      </c>
      <c r="L23" s="25">
        <f t="shared" si="16"/>
        <v>5.2541228019999995</v>
      </c>
      <c r="M23" s="25">
        <f t="shared" si="16"/>
        <v>5.2592686759999996</v>
      </c>
      <c r="N23" s="25">
        <f t="shared" si="16"/>
        <v>5.2674036869999998</v>
      </c>
      <c r="O23" s="25">
        <f t="shared" si="16"/>
        <v>5.2560526129999996</v>
      </c>
      <c r="P23" s="25">
        <f t="shared" si="16"/>
        <v>5.2388431400000002</v>
      </c>
      <c r="Q23" s="25">
        <f t="shared" si="16"/>
        <v>5.2260173339999998</v>
      </c>
      <c r="R23" s="25">
        <f t="shared" si="16"/>
        <v>5.216134888</v>
      </c>
      <c r="S23" s="25">
        <f t="shared" si="16"/>
        <v>5.2122038569999996</v>
      </c>
      <c r="T23" s="25">
        <f t="shared" si="16"/>
        <v>5.1989335929999996</v>
      </c>
      <c r="U23" s="25">
        <f t="shared" si="16"/>
        <v>5.179982055</v>
      </c>
      <c r="V23" s="25">
        <f t="shared" si="16"/>
        <v>5.1691597900000001</v>
      </c>
      <c r="W23" s="25">
        <f t="shared" si="16"/>
        <v>5.1649082039999996</v>
      </c>
      <c r="X23" s="25">
        <f t="shared" si="16"/>
        <v>5.1761385489999991</v>
      </c>
      <c r="Y23" s="25">
        <f t="shared" si="16"/>
        <v>5.1966997079999997</v>
      </c>
      <c r="Z23" s="25">
        <f t="shared" si="16"/>
        <v>5.2097468260000008</v>
      </c>
      <c r="AA23" s="25">
        <f t="shared" si="16"/>
        <v>5.2322434090000005</v>
      </c>
      <c r="AB23" s="25">
        <f t="shared" si="16"/>
        <v>5.2579882810000003</v>
      </c>
      <c r="AC23" s="25">
        <f t="shared" si="16"/>
        <v>5.2763182369999999</v>
      </c>
      <c r="AD23" s="25">
        <f t="shared" si="16"/>
        <v>5.2856448980000001</v>
      </c>
      <c r="AE23" s="25">
        <f t="shared" si="16"/>
        <v>5.2983944090000001</v>
      </c>
      <c r="AF23" s="25">
        <f t="shared" si="16"/>
        <v>5.3159449460000001</v>
      </c>
      <c r="AG23" s="25">
        <f t="shared" si="16"/>
        <v>5.3439739990000001</v>
      </c>
      <c r="AH23" s="25">
        <f t="shared" si="16"/>
        <v>5.3753741449999994</v>
      </c>
      <c r="AI23" s="25">
        <f t="shared" si="16"/>
        <v>5.4078178709999989</v>
      </c>
      <c r="AJ23" s="25">
        <f t="shared" si="16"/>
        <v>5.4376636960000004</v>
      </c>
      <c r="AK23" s="25">
        <f t="shared" si="16"/>
        <v>5.4657871099999999</v>
      </c>
      <c r="AL23" s="25">
        <f t="shared" si="16"/>
        <v>5.4886303709999993</v>
      </c>
      <c r="AM23" s="25">
        <f t="shared" si="16"/>
        <v>5.5160683590000001</v>
      </c>
      <c r="AN23" s="25">
        <f t="shared" si="16"/>
        <v>5.5538001709999998</v>
      </c>
      <c r="AO23" s="1">
        <f>SUM(E23:AN23)</f>
        <v>190.04303844799998</v>
      </c>
      <c r="AP23" s="1" t="s">
        <v>5</v>
      </c>
      <c r="AT23" s="80"/>
    </row>
    <row r="24" spans="1:49" x14ac:dyDescent="0.3">
      <c r="D24" s="17"/>
      <c r="AN24" s="25">
        <f t="shared" si="16"/>
        <v>1.1958036869999977</v>
      </c>
      <c r="AO24" s="1"/>
      <c r="AP24" s="1"/>
      <c r="AT24" s="80"/>
      <c r="AW24" s="23"/>
    </row>
    <row r="25" spans="1:49" ht="28.8" x14ac:dyDescent="0.3">
      <c r="A25" s="28" t="s">
        <v>60</v>
      </c>
      <c r="B25" s="83" t="s">
        <v>61</v>
      </c>
      <c r="D25" s="17" t="s">
        <v>4</v>
      </c>
      <c r="E25" s="25">
        <v>5.2475864249999997</v>
      </c>
      <c r="F25" s="25">
        <f t="shared" ref="F25:N25" si="17">F23</f>
        <v>5.1454127190000003</v>
      </c>
      <c r="G25" s="25">
        <f t="shared" si="17"/>
        <v>5.1711643060000005</v>
      </c>
      <c r="H25" s="25">
        <f t="shared" si="17"/>
        <v>5.2067216799999994</v>
      </c>
      <c r="I25" s="25">
        <f t="shared" si="17"/>
        <v>5.2659489739999996</v>
      </c>
      <c r="J25" s="25">
        <f t="shared" si="17"/>
        <v>5.2762746580000002</v>
      </c>
      <c r="K25" s="25">
        <f t="shared" si="17"/>
        <v>5.2486640619999996</v>
      </c>
      <c r="L25" s="25">
        <f t="shared" si="17"/>
        <v>5.2541228019999995</v>
      </c>
      <c r="M25" s="25">
        <f t="shared" si="17"/>
        <v>5.2592686759999996</v>
      </c>
      <c r="N25" s="25">
        <f t="shared" si="17"/>
        <v>5.2674036869999998</v>
      </c>
      <c r="O25" s="54">
        <f>N25-0.1566</f>
        <v>5.1108036869999998</v>
      </c>
      <c r="P25" s="54">
        <f t="shared" ref="P25:AB25" si="18">O25-0.1566</f>
        <v>4.9542036869999997</v>
      </c>
      <c r="Q25" s="54">
        <f t="shared" si="18"/>
        <v>4.7976036869999996</v>
      </c>
      <c r="R25" s="54">
        <f t="shared" si="18"/>
        <v>4.6410036869999995</v>
      </c>
      <c r="S25" s="54">
        <f t="shared" si="18"/>
        <v>4.4844036869999995</v>
      </c>
      <c r="T25" s="54">
        <f t="shared" si="18"/>
        <v>4.3278036869999994</v>
      </c>
      <c r="U25" s="54">
        <f t="shared" si="18"/>
        <v>4.1712036869999993</v>
      </c>
      <c r="V25" s="54">
        <f t="shared" si="18"/>
        <v>4.0146036869999993</v>
      </c>
      <c r="W25" s="54">
        <f t="shared" si="18"/>
        <v>3.8580036869999992</v>
      </c>
      <c r="X25" s="54">
        <f t="shared" si="18"/>
        <v>3.7014036869999991</v>
      </c>
      <c r="Y25" s="54">
        <f t="shared" si="18"/>
        <v>3.544803686999999</v>
      </c>
      <c r="Z25" s="54">
        <f t="shared" si="18"/>
        <v>3.388203686999999</v>
      </c>
      <c r="AA25" s="54">
        <f t="shared" si="18"/>
        <v>3.2316036869999989</v>
      </c>
      <c r="AB25" s="54">
        <f t="shared" si="18"/>
        <v>3.0750036869999988</v>
      </c>
      <c r="AC25" s="54">
        <f t="shared" ref="AC25:AN25" si="19">AB25-0.1566</f>
        <v>2.9184036869999987</v>
      </c>
      <c r="AD25" s="54">
        <f t="shared" si="19"/>
        <v>2.7618036869999987</v>
      </c>
      <c r="AE25" s="54">
        <f t="shared" si="19"/>
        <v>2.6052036869999986</v>
      </c>
      <c r="AF25" s="54">
        <f t="shared" si="19"/>
        <v>2.4486036869999985</v>
      </c>
      <c r="AG25" s="54">
        <f t="shared" si="19"/>
        <v>2.2920036869999985</v>
      </c>
      <c r="AH25" s="54">
        <f t="shared" si="19"/>
        <v>2.1354036869999984</v>
      </c>
      <c r="AI25" s="54">
        <f t="shared" si="19"/>
        <v>1.9788036869999983</v>
      </c>
      <c r="AJ25" s="54">
        <f t="shared" si="19"/>
        <v>1.8222036869999982</v>
      </c>
      <c r="AK25" s="54">
        <f t="shared" si="19"/>
        <v>1.6656036869999982</v>
      </c>
      <c r="AL25" s="54">
        <f t="shared" si="19"/>
        <v>1.5090036869999981</v>
      </c>
      <c r="AM25" s="54">
        <f t="shared" si="19"/>
        <v>1.352403686999998</v>
      </c>
      <c r="AN25" s="54">
        <f t="shared" si="19"/>
        <v>1.195803686999998</v>
      </c>
      <c r="AO25" s="1">
        <f>SUM(E25:AN25)</f>
        <v>134.32846385099992</v>
      </c>
      <c r="AP25" s="1" t="s">
        <v>6</v>
      </c>
      <c r="AS25" s="47">
        <f>SUM(O25:AN25)</f>
        <v>81.985895861999964</v>
      </c>
      <c r="AT25" s="63"/>
    </row>
    <row r="26" spans="1:49" x14ac:dyDescent="0.3">
      <c r="B26" s="2"/>
      <c r="D26" s="17"/>
      <c r="AM26" s="25" t="s">
        <v>22</v>
      </c>
      <c r="AN26" s="27">
        <f>((N25-AN25)/26)/N25</f>
        <v>2.9730016779706915E-2</v>
      </c>
      <c r="AT26" s="80"/>
    </row>
    <row r="27" spans="1:49" ht="30.6" x14ac:dyDescent="0.3">
      <c r="B27" s="84" t="s">
        <v>58</v>
      </c>
      <c r="C27" s="22"/>
      <c r="D27" s="85" t="s">
        <v>4</v>
      </c>
      <c r="E27" s="55">
        <v>5.9847999999999999</v>
      </c>
      <c r="AO27" s="1">
        <f>AO25+85.05</f>
        <v>219.37846385099994</v>
      </c>
      <c r="AP27" s="1" t="s">
        <v>7</v>
      </c>
      <c r="AT27" s="80"/>
    </row>
    <row r="28" spans="1:49" x14ac:dyDescent="0.3">
      <c r="B28" s="2" t="s">
        <v>9</v>
      </c>
      <c r="E28" s="18">
        <f>AN26</f>
        <v>2.9730016779706915E-2</v>
      </c>
      <c r="N28" s="66"/>
      <c r="O28" s="67"/>
      <c r="P28" s="67"/>
      <c r="Q28" s="67"/>
      <c r="R28" s="68" t="s">
        <v>53</v>
      </c>
      <c r="AM28" s="25" t="s">
        <v>19</v>
      </c>
      <c r="AN28" s="45">
        <f>AN24/E27</f>
        <v>0.19980679170565394</v>
      </c>
    </row>
    <row r="29" spans="1:49" x14ac:dyDescent="0.3">
      <c r="B29" s="2" t="s">
        <v>57</v>
      </c>
      <c r="E29" s="25">
        <v>2</v>
      </c>
      <c r="N29" s="69"/>
      <c r="O29" s="70"/>
      <c r="P29" s="70"/>
      <c r="Q29" s="71" t="s">
        <v>51</v>
      </c>
      <c r="R29" s="72">
        <f>E27*0.2</f>
        <v>1.19696</v>
      </c>
      <c r="AO29" s="51">
        <f>AO27/0.172</f>
        <v>1275.4561851802323</v>
      </c>
      <c r="AP29" s="50" t="s">
        <v>10</v>
      </c>
      <c r="AQ29" s="49"/>
    </row>
    <row r="30" spans="1:49" x14ac:dyDescent="0.3">
      <c r="N30" s="73"/>
      <c r="O30" s="74"/>
      <c r="P30" s="74"/>
      <c r="Q30" s="75" t="s">
        <v>52</v>
      </c>
      <c r="R30" s="76">
        <f>(N25-R29)/26</f>
        <v>0.15655552642307694</v>
      </c>
    </row>
    <row r="31" spans="1:49" x14ac:dyDescent="0.3">
      <c r="N31" s="63"/>
      <c r="O31" s="63"/>
      <c r="P31" s="63"/>
      <c r="Q31" s="64"/>
      <c r="R31" s="65"/>
    </row>
    <row r="32" spans="1:49" s="3" customFormat="1" x14ac:dyDescent="0.3">
      <c r="A32" s="17"/>
      <c r="B32"/>
      <c r="C32"/>
      <c r="D32" s="2" t="s">
        <v>8</v>
      </c>
      <c r="E32" s="25">
        <v>85.05</v>
      </c>
      <c r="F32" s="25"/>
      <c r="G32" s="25"/>
      <c r="H32" s="25"/>
      <c r="I32" s="25"/>
      <c r="J32" s="25"/>
      <c r="K32" s="25"/>
      <c r="L32" s="25"/>
      <c r="M32" s="25"/>
      <c r="N32" s="24" t="s">
        <v>11</v>
      </c>
      <c r="O32" s="21">
        <v>1</v>
      </c>
      <c r="P32" s="21">
        <f>O32+1</f>
        <v>2</v>
      </c>
      <c r="Q32" s="21">
        <f t="shared" ref="Q32:AN32" si="20">P32+1</f>
        <v>3</v>
      </c>
      <c r="R32" s="21">
        <f t="shared" si="20"/>
        <v>4</v>
      </c>
      <c r="S32" s="21">
        <f t="shared" si="20"/>
        <v>5</v>
      </c>
      <c r="T32" s="21">
        <f t="shared" si="20"/>
        <v>6</v>
      </c>
      <c r="U32" s="21">
        <f t="shared" si="20"/>
        <v>7</v>
      </c>
      <c r="V32" s="21">
        <f t="shared" si="20"/>
        <v>8</v>
      </c>
      <c r="W32" s="21">
        <f t="shared" si="20"/>
        <v>9</v>
      </c>
      <c r="X32" s="21">
        <f t="shared" si="20"/>
        <v>10</v>
      </c>
      <c r="Y32" s="21">
        <f t="shared" si="20"/>
        <v>11</v>
      </c>
      <c r="Z32" s="21">
        <f t="shared" si="20"/>
        <v>12</v>
      </c>
      <c r="AA32" s="21">
        <f t="shared" si="20"/>
        <v>13</v>
      </c>
      <c r="AB32" s="21">
        <f t="shared" si="20"/>
        <v>14</v>
      </c>
      <c r="AC32" s="21">
        <f t="shared" si="20"/>
        <v>15</v>
      </c>
      <c r="AD32" s="21">
        <f t="shared" si="20"/>
        <v>16</v>
      </c>
      <c r="AE32" s="21">
        <f t="shared" si="20"/>
        <v>17</v>
      </c>
      <c r="AF32" s="21">
        <f t="shared" si="20"/>
        <v>18</v>
      </c>
      <c r="AG32" s="21">
        <f t="shared" si="20"/>
        <v>19</v>
      </c>
      <c r="AH32" s="21">
        <f t="shared" si="20"/>
        <v>20</v>
      </c>
      <c r="AI32" s="21">
        <f t="shared" si="20"/>
        <v>21</v>
      </c>
      <c r="AJ32" s="21">
        <f t="shared" si="20"/>
        <v>22</v>
      </c>
      <c r="AK32" s="21">
        <f t="shared" si="20"/>
        <v>23</v>
      </c>
      <c r="AL32" s="21">
        <f t="shared" si="20"/>
        <v>24</v>
      </c>
      <c r="AM32" s="21">
        <f t="shared" si="20"/>
        <v>25</v>
      </c>
      <c r="AN32" s="21">
        <f t="shared" si="20"/>
        <v>26</v>
      </c>
      <c r="AS32" s="48"/>
      <c r="AT32" s="48"/>
      <c r="AV32"/>
      <c r="AW32"/>
    </row>
    <row r="34" spans="1:49" s="3" customFormat="1" x14ac:dyDescent="0.3">
      <c r="A34" s="17"/>
      <c r="B34" s="5" t="s">
        <v>33</v>
      </c>
      <c r="C34" s="5"/>
      <c r="D34" s="86" t="s">
        <v>34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V34"/>
      <c r="AW34"/>
    </row>
    <row r="35" spans="1:49" s="3" customFormat="1" x14ac:dyDescent="0.3">
      <c r="A35" s="17"/>
      <c r="B35" s="9" t="s">
        <v>50</v>
      </c>
      <c r="C35"/>
      <c r="D35" s="17" t="s">
        <v>27</v>
      </c>
      <c r="E35" s="25">
        <f t="shared" ref="E35:AN35" si="21">E19</f>
        <v>5247.5864249999995</v>
      </c>
      <c r="F35" s="25">
        <f t="shared" si="21"/>
        <v>5145.4127189999999</v>
      </c>
      <c r="G35" s="25">
        <f t="shared" si="21"/>
        <v>5171.1643060000006</v>
      </c>
      <c r="H35" s="25">
        <f t="shared" si="21"/>
        <v>5206.7216799999997</v>
      </c>
      <c r="I35" s="25">
        <f t="shared" si="21"/>
        <v>5265.9489739999999</v>
      </c>
      <c r="J35" s="25">
        <f t="shared" si="21"/>
        <v>5276.2746580000003</v>
      </c>
      <c r="K35" s="25">
        <f t="shared" si="21"/>
        <v>5248.6640619999998</v>
      </c>
      <c r="L35" s="25">
        <f t="shared" si="21"/>
        <v>5254.1228019999999</v>
      </c>
      <c r="M35" s="25">
        <f t="shared" si="21"/>
        <v>5259.2686759999997</v>
      </c>
      <c r="N35" s="25">
        <f t="shared" si="21"/>
        <v>5267.403687</v>
      </c>
      <c r="O35" s="25">
        <f t="shared" si="21"/>
        <v>5256.0526129999998</v>
      </c>
      <c r="P35" s="25">
        <f t="shared" si="21"/>
        <v>5238.8431399999999</v>
      </c>
      <c r="Q35" s="25">
        <f t="shared" si="21"/>
        <v>5226.0173340000001</v>
      </c>
      <c r="R35" s="25">
        <f t="shared" si="21"/>
        <v>5216.1348879999996</v>
      </c>
      <c r="S35" s="25">
        <f t="shared" si="21"/>
        <v>5212.2038569999995</v>
      </c>
      <c r="T35" s="25">
        <f t="shared" si="21"/>
        <v>5198.9335929999997</v>
      </c>
      <c r="U35" s="25">
        <f t="shared" si="21"/>
        <v>5179.9820550000004</v>
      </c>
      <c r="V35" s="25">
        <f t="shared" si="21"/>
        <v>5169.1597899999997</v>
      </c>
      <c r="W35" s="25">
        <f t="shared" si="21"/>
        <v>5164.9082039999994</v>
      </c>
      <c r="X35" s="25">
        <f t="shared" si="21"/>
        <v>5176.1385489999993</v>
      </c>
      <c r="Y35" s="25">
        <f t="shared" si="21"/>
        <v>5196.6997080000001</v>
      </c>
      <c r="Z35" s="25">
        <f t="shared" si="21"/>
        <v>5209.7468260000005</v>
      </c>
      <c r="AA35" s="25">
        <f t="shared" si="21"/>
        <v>5232.2434090000006</v>
      </c>
      <c r="AB35" s="25">
        <f t="shared" si="21"/>
        <v>5257.9882809999999</v>
      </c>
      <c r="AC35" s="25">
        <f t="shared" si="21"/>
        <v>5276.3182369999995</v>
      </c>
      <c r="AD35" s="25">
        <f t="shared" si="21"/>
        <v>5285.6448980000005</v>
      </c>
      <c r="AE35" s="25">
        <f t="shared" si="21"/>
        <v>5298.3944090000005</v>
      </c>
      <c r="AF35" s="25">
        <f t="shared" si="21"/>
        <v>5315.9449460000005</v>
      </c>
      <c r="AG35" s="25">
        <f t="shared" si="21"/>
        <v>5343.9739989999998</v>
      </c>
      <c r="AH35" s="25">
        <f t="shared" si="21"/>
        <v>5375.3741449999998</v>
      </c>
      <c r="AI35" s="25">
        <f t="shared" si="21"/>
        <v>5407.8178709999993</v>
      </c>
      <c r="AJ35" s="25">
        <f t="shared" si="21"/>
        <v>5437.6636960000005</v>
      </c>
      <c r="AK35" s="25">
        <f t="shared" si="21"/>
        <v>5465.7871100000002</v>
      </c>
      <c r="AL35" s="25">
        <f t="shared" si="21"/>
        <v>5488.6303709999993</v>
      </c>
      <c r="AM35" s="25">
        <f t="shared" si="21"/>
        <v>5516.0683589999999</v>
      </c>
      <c r="AN35" s="25">
        <f t="shared" si="21"/>
        <v>5553.8001709999999</v>
      </c>
      <c r="AQ35" s="26">
        <f t="shared" ref="AQ35:AQ39" si="22">SUM(E35:AN35)</f>
        <v>190043.03844800004</v>
      </c>
      <c r="AR35" s="39"/>
      <c r="AS35" s="26">
        <f t="shared" ref="AS35:AS39" si="23">SUM(O35:AN35)</f>
        <v>137700.470459</v>
      </c>
      <c r="AT35" s="57">
        <f xml:space="preserve"> AS35/1000</f>
        <v>137.700470459</v>
      </c>
      <c r="AV35"/>
      <c r="AW35"/>
    </row>
    <row r="36" spans="1:49" s="3" customFormat="1" x14ac:dyDescent="0.3">
      <c r="A36" s="17"/>
      <c r="B36" s="9" t="s">
        <v>49</v>
      </c>
      <c r="C36"/>
      <c r="D36" s="17" t="s">
        <v>27</v>
      </c>
      <c r="E36" s="25">
        <f t="shared" ref="E36:AN36" si="24">E18</f>
        <v>5247.5864249999995</v>
      </c>
      <c r="F36" s="25">
        <f t="shared" si="24"/>
        <v>5145.5045159999991</v>
      </c>
      <c r="G36" s="25">
        <f t="shared" si="24"/>
        <v>5171.3094490000003</v>
      </c>
      <c r="H36" s="25">
        <f t="shared" si="24"/>
        <v>5210.6546629999993</v>
      </c>
      <c r="I36" s="25">
        <f t="shared" si="24"/>
        <v>5260.3677969999999</v>
      </c>
      <c r="J36" s="25">
        <f t="shared" si="24"/>
        <v>5260.1634519999998</v>
      </c>
      <c r="K36" s="25">
        <f t="shared" si="24"/>
        <v>5218.6213379999999</v>
      </c>
      <c r="L36" s="25">
        <f t="shared" si="24"/>
        <v>5158.5769049999999</v>
      </c>
      <c r="M36" s="25">
        <f t="shared" si="24"/>
        <v>5129.119385</v>
      </c>
      <c r="N36" s="25">
        <f t="shared" si="24"/>
        <v>5098.7178960000001</v>
      </c>
      <c r="O36" s="25">
        <f t="shared" si="24"/>
        <v>5057.0340580000002</v>
      </c>
      <c r="P36" s="25">
        <f t="shared" si="24"/>
        <v>5009.9017329999997</v>
      </c>
      <c r="Q36" s="25">
        <f t="shared" si="24"/>
        <v>4953.7619620000005</v>
      </c>
      <c r="R36" s="25">
        <f t="shared" si="24"/>
        <v>4911.4973149999996</v>
      </c>
      <c r="S36" s="25">
        <f t="shared" si="24"/>
        <v>4874.5385740000002</v>
      </c>
      <c r="T36" s="25">
        <f t="shared" si="24"/>
        <v>4839.3657219999996</v>
      </c>
      <c r="U36" s="25">
        <f t="shared" si="24"/>
        <v>4820.5339360000007</v>
      </c>
      <c r="V36" s="25">
        <f t="shared" si="24"/>
        <v>4806.9180909999995</v>
      </c>
      <c r="W36" s="25">
        <f t="shared" si="24"/>
        <v>4803.2607429999998</v>
      </c>
      <c r="X36" s="25">
        <f t="shared" si="24"/>
        <v>4807.7595220000003</v>
      </c>
      <c r="Y36" s="25">
        <f t="shared" si="24"/>
        <v>4815.596313</v>
      </c>
      <c r="Z36" s="25">
        <f t="shared" si="24"/>
        <v>4824.9133299999994</v>
      </c>
      <c r="AA36" s="25">
        <f t="shared" si="24"/>
        <v>4833.3306890000003</v>
      </c>
      <c r="AB36" s="25">
        <f t="shared" si="24"/>
        <v>4843.4977410000001</v>
      </c>
      <c r="AC36" s="25">
        <f t="shared" si="24"/>
        <v>4857.650208</v>
      </c>
      <c r="AD36" s="25">
        <f t="shared" si="24"/>
        <v>4866.8219600000002</v>
      </c>
      <c r="AE36" s="25">
        <f t="shared" si="24"/>
        <v>4879.7175290000005</v>
      </c>
      <c r="AF36" s="25">
        <f t="shared" si="24"/>
        <v>4895.9627079999991</v>
      </c>
      <c r="AG36" s="25">
        <f t="shared" si="24"/>
        <v>4915.9878549999994</v>
      </c>
      <c r="AH36" s="25">
        <f t="shared" si="24"/>
        <v>4936.4450080000006</v>
      </c>
      <c r="AI36" s="25">
        <f t="shared" si="24"/>
        <v>4956.7985229999995</v>
      </c>
      <c r="AJ36" s="25">
        <f t="shared" si="24"/>
        <v>4980.7808230000001</v>
      </c>
      <c r="AK36" s="25">
        <f t="shared" si="24"/>
        <v>5001.5524299999997</v>
      </c>
      <c r="AL36" s="25">
        <f t="shared" si="24"/>
        <v>5021.395203</v>
      </c>
      <c r="AM36" s="25">
        <f t="shared" si="24"/>
        <v>5044.3646849999996</v>
      </c>
      <c r="AN36" s="25">
        <f t="shared" si="24"/>
        <v>5072.6318969999993</v>
      </c>
      <c r="AQ36" s="26">
        <f t="shared" si="22"/>
        <v>179532.64038400003</v>
      </c>
      <c r="AR36" s="39"/>
      <c r="AS36" s="26">
        <f t="shared" si="23"/>
        <v>127632.01855799998</v>
      </c>
      <c r="AT36" s="57">
        <f t="shared" ref="AT36:AT39" si="25" xml:space="preserve"> AS36/1000</f>
        <v>127.63201855799998</v>
      </c>
      <c r="AV36"/>
      <c r="AW36"/>
    </row>
    <row r="37" spans="1:49" s="3" customFormat="1" x14ac:dyDescent="0.3">
      <c r="A37" s="17"/>
      <c r="B37" s="35" t="s">
        <v>26</v>
      </c>
      <c r="C37"/>
      <c r="D37" s="17" t="s">
        <v>27</v>
      </c>
      <c r="E37" s="25">
        <f t="shared" ref="E37:AN37" si="26">E5+E10+E15</f>
        <v>5247.5864249999995</v>
      </c>
      <c r="F37" s="25">
        <f t="shared" si="26"/>
        <v>5145.4127189999999</v>
      </c>
      <c r="G37" s="25">
        <f t="shared" si="26"/>
        <v>5171.1643060000006</v>
      </c>
      <c r="H37" s="25">
        <f t="shared" si="26"/>
        <v>5206.7216799999997</v>
      </c>
      <c r="I37" s="25">
        <f t="shared" si="26"/>
        <v>5265.9489739999999</v>
      </c>
      <c r="J37" s="25">
        <f t="shared" si="26"/>
        <v>5276.2746580000003</v>
      </c>
      <c r="K37" s="25">
        <f t="shared" si="26"/>
        <v>5248.6640619999998</v>
      </c>
      <c r="L37" s="25">
        <f t="shared" si="26"/>
        <v>5254.1228019999999</v>
      </c>
      <c r="M37" s="25">
        <f t="shared" si="26"/>
        <v>5259.2686759999997</v>
      </c>
      <c r="N37" s="25">
        <f t="shared" si="26"/>
        <v>5267.403687</v>
      </c>
      <c r="O37" s="25">
        <f t="shared" si="26"/>
        <v>5110.8036869999987</v>
      </c>
      <c r="P37" s="25">
        <f t="shared" si="26"/>
        <v>4954.2036869999993</v>
      </c>
      <c r="Q37" s="25">
        <f t="shared" si="26"/>
        <v>4797.6036869999998</v>
      </c>
      <c r="R37" s="25">
        <f t="shared" si="26"/>
        <v>4641.0036869999994</v>
      </c>
      <c r="S37" s="25">
        <f t="shared" si="26"/>
        <v>4484.4036869999991</v>
      </c>
      <c r="T37" s="25">
        <f t="shared" si="26"/>
        <v>4327.8036869999996</v>
      </c>
      <c r="U37" s="25">
        <f t="shared" si="26"/>
        <v>4171.2036869999993</v>
      </c>
      <c r="V37" s="25">
        <f t="shared" si="26"/>
        <v>4014.6036869999989</v>
      </c>
      <c r="W37" s="25">
        <f t="shared" si="26"/>
        <v>3858.0036869999985</v>
      </c>
      <c r="X37" s="25">
        <f t="shared" si="26"/>
        <v>3701.4036869999991</v>
      </c>
      <c r="Y37" s="25">
        <f t="shared" si="26"/>
        <v>3544.8036869999987</v>
      </c>
      <c r="Z37" s="25">
        <f t="shared" si="26"/>
        <v>3388.2036869999984</v>
      </c>
      <c r="AA37" s="25">
        <f t="shared" si="26"/>
        <v>3231.6036869999989</v>
      </c>
      <c r="AB37" s="25">
        <f t="shared" si="26"/>
        <v>3075.0036869999985</v>
      </c>
      <c r="AC37" s="25">
        <f t="shared" si="26"/>
        <v>2918.4036869999982</v>
      </c>
      <c r="AD37" s="25">
        <f t="shared" si="26"/>
        <v>2761.8036869999987</v>
      </c>
      <c r="AE37" s="25">
        <f t="shared" si="26"/>
        <v>2605.2036869999984</v>
      </c>
      <c r="AF37" s="25">
        <f t="shared" si="26"/>
        <v>2448.603686999998</v>
      </c>
      <c r="AG37" s="25">
        <f t="shared" si="26"/>
        <v>2292.0036869999985</v>
      </c>
      <c r="AH37" s="25">
        <f t="shared" si="26"/>
        <v>2135.4036869999982</v>
      </c>
      <c r="AI37" s="25">
        <f t="shared" si="26"/>
        <v>1978.8036869999983</v>
      </c>
      <c r="AJ37" s="25">
        <f t="shared" si="26"/>
        <v>1822.2036869999981</v>
      </c>
      <c r="AK37" s="25">
        <f t="shared" si="26"/>
        <v>1665.6036869999982</v>
      </c>
      <c r="AL37" s="25">
        <f t="shared" si="26"/>
        <v>1509.0036869999981</v>
      </c>
      <c r="AM37" s="25">
        <f t="shared" si="26"/>
        <v>1352.4036869999977</v>
      </c>
      <c r="AN37" s="25">
        <f t="shared" si="26"/>
        <v>1195.8036869999978</v>
      </c>
      <c r="AQ37" s="26">
        <f t="shared" si="22"/>
        <v>134328.46385099995</v>
      </c>
      <c r="AR37" s="39"/>
      <c r="AS37" s="58">
        <f t="shared" si="23"/>
        <v>81985.895861999961</v>
      </c>
      <c r="AT37" s="59">
        <f t="shared" si="25"/>
        <v>81.985895861999964</v>
      </c>
      <c r="AV37"/>
      <c r="AW37"/>
    </row>
    <row r="38" spans="1:49" s="3" customFormat="1" x14ac:dyDescent="0.3">
      <c r="A38" s="17"/>
      <c r="B38" s="36" t="s">
        <v>24</v>
      </c>
      <c r="C38"/>
      <c r="D38" s="17" t="s">
        <v>27</v>
      </c>
      <c r="E38" s="25">
        <f>E5+E10</f>
        <v>3765.006347</v>
      </c>
      <c r="F38" s="25">
        <f t="shared" ref="F38:AN38" si="27">F5+F10</f>
        <v>3818.0317379999997</v>
      </c>
      <c r="G38" s="25">
        <f t="shared" si="27"/>
        <v>3824.8857420000004</v>
      </c>
      <c r="H38" s="25">
        <f t="shared" si="27"/>
        <v>3865.3757329999999</v>
      </c>
      <c r="I38" s="25">
        <f t="shared" si="27"/>
        <v>3844.840698</v>
      </c>
      <c r="J38" s="25">
        <f t="shared" si="27"/>
        <v>3811.1184080000003</v>
      </c>
      <c r="K38" s="25">
        <f t="shared" si="27"/>
        <v>3795.9173580000001</v>
      </c>
      <c r="L38" s="25">
        <f t="shared" si="27"/>
        <v>3789.8720700000003</v>
      </c>
      <c r="M38" s="25">
        <f t="shared" si="27"/>
        <v>3787.2023920000001</v>
      </c>
      <c r="N38" s="25">
        <f t="shared" si="27"/>
        <v>3779.1571050000002</v>
      </c>
      <c r="O38" s="25">
        <f t="shared" si="27"/>
        <v>3669.5570472659992</v>
      </c>
      <c r="P38" s="25">
        <f t="shared" si="27"/>
        <v>3557.1182472659993</v>
      </c>
      <c r="Q38" s="25">
        <f t="shared" si="27"/>
        <v>3444.6794472659999</v>
      </c>
      <c r="R38" s="25">
        <f t="shared" si="27"/>
        <v>3332.2406472659995</v>
      </c>
      <c r="S38" s="25">
        <f t="shared" si="27"/>
        <v>3219.8018472659992</v>
      </c>
      <c r="T38" s="25">
        <f t="shared" si="27"/>
        <v>3107.3630472659997</v>
      </c>
      <c r="U38" s="25">
        <f t="shared" si="27"/>
        <v>2994.9242472659994</v>
      </c>
      <c r="V38" s="25">
        <f t="shared" si="27"/>
        <v>2882.4854472659995</v>
      </c>
      <c r="W38" s="25">
        <f t="shared" si="27"/>
        <v>2770.0466472659991</v>
      </c>
      <c r="X38" s="25">
        <f t="shared" si="27"/>
        <v>2657.6078472659992</v>
      </c>
      <c r="Y38" s="25">
        <f t="shared" si="27"/>
        <v>2545.1690472659993</v>
      </c>
      <c r="Z38" s="25">
        <f t="shared" si="27"/>
        <v>2432.730247265999</v>
      </c>
      <c r="AA38" s="25">
        <f t="shared" si="27"/>
        <v>2320.2914472659991</v>
      </c>
      <c r="AB38" s="25">
        <f t="shared" si="27"/>
        <v>2207.8526472659992</v>
      </c>
      <c r="AC38" s="25">
        <f t="shared" si="27"/>
        <v>2095.4138472659988</v>
      </c>
      <c r="AD38" s="25">
        <f t="shared" si="27"/>
        <v>1982.9750472659989</v>
      </c>
      <c r="AE38" s="25">
        <f t="shared" si="27"/>
        <v>1870.536247265999</v>
      </c>
      <c r="AF38" s="25">
        <f t="shared" si="27"/>
        <v>1758.0974472659987</v>
      </c>
      <c r="AG38" s="25">
        <f t="shared" si="27"/>
        <v>1645.658647265999</v>
      </c>
      <c r="AH38" s="25">
        <f t="shared" si="27"/>
        <v>1533.2198472659986</v>
      </c>
      <c r="AI38" s="25">
        <f t="shared" si="27"/>
        <v>1420.7810472659987</v>
      </c>
      <c r="AJ38" s="25">
        <f t="shared" si="27"/>
        <v>1308.3422472659986</v>
      </c>
      <c r="AK38" s="25">
        <f t="shared" si="27"/>
        <v>1195.9034472659987</v>
      </c>
      <c r="AL38" s="25">
        <f t="shared" si="27"/>
        <v>1083.4646472659986</v>
      </c>
      <c r="AM38" s="25">
        <f t="shared" si="27"/>
        <v>971.02584726599844</v>
      </c>
      <c r="AN38" s="25">
        <f t="shared" si="27"/>
        <v>858.58704726599854</v>
      </c>
      <c r="AQ38" s="26">
        <f t="shared" si="22"/>
        <v>96947.280819915977</v>
      </c>
      <c r="AR38" s="39"/>
      <c r="AS38" s="60">
        <f t="shared" si="23"/>
        <v>58865.873228915982</v>
      </c>
      <c r="AT38" s="61">
        <f t="shared" si="25"/>
        <v>58.86587322891598</v>
      </c>
      <c r="AV38"/>
      <c r="AW38"/>
    </row>
    <row r="39" spans="1:49" s="3" customFormat="1" x14ac:dyDescent="0.3">
      <c r="A39" s="17"/>
      <c r="B39" s="37" t="s">
        <v>25</v>
      </c>
      <c r="C39"/>
      <c r="D39" s="17" t="s">
        <v>27</v>
      </c>
      <c r="E39" s="25">
        <f>E5</f>
        <v>2293.976318</v>
      </c>
      <c r="F39" s="25">
        <f t="shared" ref="F39:AN39" si="28">F5</f>
        <v>2325.173828</v>
      </c>
      <c r="G39" s="25">
        <f t="shared" si="28"/>
        <v>2327.0349120000001</v>
      </c>
      <c r="H39" s="25">
        <f t="shared" si="28"/>
        <v>2353.9807129999999</v>
      </c>
      <c r="I39" s="25">
        <f t="shared" si="28"/>
        <v>2353.7797850000002</v>
      </c>
      <c r="J39" s="25">
        <f t="shared" si="28"/>
        <v>2344.991943</v>
      </c>
      <c r="K39" s="25">
        <f t="shared" si="28"/>
        <v>2338.9460450000001</v>
      </c>
      <c r="L39" s="25">
        <f t="shared" si="28"/>
        <v>2330.6735840000001</v>
      </c>
      <c r="M39" s="25">
        <f t="shared" si="28"/>
        <v>2316.1879880000001</v>
      </c>
      <c r="N39" s="25">
        <f t="shared" si="28"/>
        <v>2296.1623540000001</v>
      </c>
      <c r="O39" s="25">
        <f t="shared" si="28"/>
        <v>2207.8671927839996</v>
      </c>
      <c r="P39" s="25">
        <f t="shared" si="28"/>
        <v>2140.2159927839998</v>
      </c>
      <c r="Q39" s="25">
        <f t="shared" si="28"/>
        <v>2072.564792784</v>
      </c>
      <c r="R39" s="25">
        <f t="shared" si="28"/>
        <v>2004.9135927839998</v>
      </c>
      <c r="S39" s="25">
        <f t="shared" si="28"/>
        <v>1937.2623927839995</v>
      </c>
      <c r="T39" s="25">
        <f t="shared" si="28"/>
        <v>1869.6111927839997</v>
      </c>
      <c r="U39" s="25">
        <f t="shared" si="28"/>
        <v>1801.9599927839997</v>
      </c>
      <c r="V39" s="25">
        <f t="shared" si="28"/>
        <v>1734.3087927839997</v>
      </c>
      <c r="W39" s="25">
        <f t="shared" si="28"/>
        <v>1666.6575927839995</v>
      </c>
      <c r="X39" s="25">
        <f t="shared" si="28"/>
        <v>1599.0063927839997</v>
      </c>
      <c r="Y39" s="25">
        <f t="shared" si="28"/>
        <v>1531.3551927839997</v>
      </c>
      <c r="Z39" s="25">
        <f t="shared" si="28"/>
        <v>1463.7039927839994</v>
      </c>
      <c r="AA39" s="25">
        <f t="shared" si="28"/>
        <v>1396.0527927839996</v>
      </c>
      <c r="AB39" s="25">
        <f t="shared" si="28"/>
        <v>1328.4015927839996</v>
      </c>
      <c r="AC39" s="25">
        <f t="shared" si="28"/>
        <v>1260.7503927839994</v>
      </c>
      <c r="AD39" s="25">
        <f t="shared" si="28"/>
        <v>1193.0991927839993</v>
      </c>
      <c r="AE39" s="25">
        <f t="shared" si="28"/>
        <v>1125.4479927839996</v>
      </c>
      <c r="AF39" s="25">
        <f t="shared" si="28"/>
        <v>1057.7967927839993</v>
      </c>
      <c r="AG39" s="25">
        <f t="shared" si="28"/>
        <v>990.1455927839994</v>
      </c>
      <c r="AH39" s="25">
        <f t="shared" si="28"/>
        <v>922.49439278399916</v>
      </c>
      <c r="AI39" s="25">
        <f t="shared" si="28"/>
        <v>854.84319278399926</v>
      </c>
      <c r="AJ39" s="25">
        <f t="shared" si="28"/>
        <v>787.19199278399924</v>
      </c>
      <c r="AK39" s="25">
        <f t="shared" si="28"/>
        <v>719.54079278399922</v>
      </c>
      <c r="AL39" s="25">
        <f t="shared" si="28"/>
        <v>651.88959278399921</v>
      </c>
      <c r="AM39" s="25">
        <f t="shared" si="28"/>
        <v>584.23839278399907</v>
      </c>
      <c r="AN39" s="25">
        <f t="shared" si="28"/>
        <v>516.58719278399917</v>
      </c>
      <c r="AQ39" s="26">
        <f t="shared" si="22"/>
        <v>58698.814482384012</v>
      </c>
      <c r="AR39" s="39"/>
      <c r="AS39" s="56">
        <f t="shared" si="23"/>
        <v>35417.907012383985</v>
      </c>
      <c r="AT39" s="62">
        <f t="shared" si="25"/>
        <v>35.417907012383985</v>
      </c>
      <c r="AV39"/>
      <c r="AW39"/>
    </row>
    <row r="40" spans="1:49" x14ac:dyDescent="0.3">
      <c r="AS40" s="39">
        <f>SUM(AS37:AS39)</f>
        <v>176269.67610329992</v>
      </c>
    </row>
    <row r="41" spans="1:49" x14ac:dyDescent="0.3">
      <c r="B41" s="6" t="s">
        <v>62</v>
      </c>
    </row>
    <row r="42" spans="1:49" x14ac:dyDescent="0.3">
      <c r="B42" t="s">
        <v>63</v>
      </c>
    </row>
    <row r="43" spans="1:49" x14ac:dyDescent="0.3">
      <c r="B43" t="s">
        <v>64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 A  (Aug. 26 2019)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rine</dc:creator>
  <cp:lastModifiedBy>james rine</cp:lastModifiedBy>
  <dcterms:created xsi:type="dcterms:W3CDTF">2017-05-04T19:42:39Z</dcterms:created>
  <dcterms:modified xsi:type="dcterms:W3CDTF">2019-08-26T21:17:04Z</dcterms:modified>
</cp:coreProperties>
</file>